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RSC\FoService\Vorlagen_Templates_Tools\Kalkulationstools\"/>
    </mc:Choice>
  </mc:AlternateContent>
  <bookViews>
    <workbookView xWindow="8376" yWindow="0" windowWidth="28800" windowHeight="13620"/>
  </bookViews>
  <sheets>
    <sheet name="Internal Calculation" sheetId="1" r:id="rId1"/>
    <sheet name="Budget Spread" sheetId="3" r:id="rId2"/>
  </sheets>
  <calcPr calcId="162913" concurrentCalc="0"/>
</workbook>
</file>

<file path=xl/calcChain.xml><?xml version="1.0" encoding="utf-8"?>
<calcChain xmlns="http://schemas.openxmlformats.org/spreadsheetml/2006/main">
  <c r="K23" i="1" l="1"/>
  <c r="L23" i="1"/>
  <c r="M23" i="1"/>
  <c r="N23" i="1"/>
  <c r="O23" i="1"/>
  <c r="P23" i="1"/>
  <c r="Q23" i="1"/>
  <c r="B23" i="1"/>
  <c r="C23" i="1"/>
  <c r="D23" i="1"/>
  <c r="E23" i="1"/>
  <c r="F23" i="1"/>
  <c r="G23" i="1"/>
  <c r="H23" i="1"/>
  <c r="J5" i="1"/>
  <c r="N5" i="1"/>
  <c r="O5" i="1"/>
  <c r="M5" i="1"/>
  <c r="K5" i="1"/>
  <c r="F5" i="1"/>
  <c r="G5" i="1"/>
  <c r="E5" i="1"/>
  <c r="C5" i="1"/>
  <c r="Q18" i="1"/>
  <c r="E57" i="1"/>
  <c r="F57" i="1"/>
  <c r="F60" i="1"/>
  <c r="F58" i="1"/>
  <c r="F59" i="1"/>
  <c r="H18" i="1"/>
  <c r="E53" i="1"/>
  <c r="F53" i="1"/>
  <c r="E54" i="1"/>
  <c r="F54" i="1"/>
  <c r="F55" i="1"/>
  <c r="E59" i="1"/>
  <c r="E58" i="1"/>
  <c r="E55" i="1"/>
  <c r="D53" i="1"/>
  <c r="D54" i="1"/>
  <c r="D55" i="1"/>
  <c r="D57" i="1"/>
  <c r="D58" i="1"/>
  <c r="D59" i="1"/>
  <c r="C6" i="1"/>
  <c r="B24" i="1"/>
  <c r="C3" i="1"/>
  <c r="B21" i="1"/>
  <c r="C4" i="1"/>
  <c r="E22" i="1"/>
  <c r="C7" i="1"/>
  <c r="B25" i="1"/>
  <c r="C8" i="1"/>
  <c r="B26" i="1"/>
  <c r="C9" i="1"/>
  <c r="B27" i="1"/>
  <c r="C10" i="1"/>
  <c r="C28" i="1"/>
  <c r="J6" i="1"/>
  <c r="K6" i="1"/>
  <c r="J3" i="1"/>
  <c r="K3" i="1"/>
  <c r="J4" i="1"/>
  <c r="K4" i="1"/>
  <c r="J7" i="1"/>
  <c r="N7" i="1"/>
  <c r="O7" i="1"/>
  <c r="K7" i="1"/>
  <c r="N25" i="1"/>
  <c r="J8" i="1"/>
  <c r="K8" i="1"/>
  <c r="J9" i="1"/>
  <c r="K9" i="1"/>
  <c r="J10" i="1"/>
  <c r="K10" i="1"/>
  <c r="D21" i="1"/>
  <c r="D26" i="1"/>
  <c r="C21" i="1"/>
  <c r="C25" i="1"/>
  <c r="E21" i="1"/>
  <c r="E27" i="1"/>
  <c r="E28" i="1"/>
  <c r="F21" i="1"/>
  <c r="G21" i="1"/>
  <c r="J43" i="1"/>
  <c r="C33" i="1"/>
  <c r="C1" i="3"/>
  <c r="D33" i="1"/>
  <c r="D1" i="3"/>
  <c r="E33" i="1"/>
  <c r="E1" i="3"/>
  <c r="F33" i="1"/>
  <c r="F1" i="3"/>
  <c r="G33" i="1"/>
  <c r="G1" i="3"/>
  <c r="B33" i="1"/>
  <c r="B1" i="3"/>
  <c r="H34" i="1"/>
  <c r="H35" i="1"/>
  <c r="H36" i="1"/>
  <c r="H37" i="1"/>
  <c r="Q35" i="1"/>
  <c r="Q34" i="1"/>
  <c r="Q36" i="1"/>
  <c r="Q37" i="1"/>
  <c r="J42" i="1"/>
  <c r="J41" i="1"/>
  <c r="J40" i="1"/>
  <c r="J39" i="1"/>
  <c r="J33" i="1"/>
  <c r="J20" i="1"/>
  <c r="J35" i="1"/>
  <c r="J36" i="1"/>
  <c r="J37" i="1"/>
  <c r="J38" i="1"/>
  <c r="J34" i="1"/>
  <c r="J31" i="1"/>
  <c r="J18" i="1"/>
  <c r="J17" i="1"/>
  <c r="O2" i="1"/>
  <c r="N2" i="1"/>
  <c r="M2" i="1"/>
  <c r="L2" i="1"/>
  <c r="K2" i="1"/>
  <c r="J2" i="1"/>
  <c r="A21" i="1"/>
  <c r="J21" i="1"/>
  <c r="N10" i="1"/>
  <c r="O10" i="1"/>
  <c r="M10" i="1"/>
  <c r="N9" i="1"/>
  <c r="O9" i="1"/>
  <c r="M9" i="1"/>
  <c r="M8" i="1"/>
  <c r="M7" i="1"/>
  <c r="N6" i="1"/>
  <c r="O6" i="1"/>
  <c r="M6" i="1"/>
  <c r="M4" i="1"/>
  <c r="M3" i="1"/>
  <c r="P33" i="1"/>
  <c r="O33" i="1"/>
  <c r="N33" i="1"/>
  <c r="M33" i="1"/>
  <c r="L33" i="1"/>
  <c r="K33" i="1"/>
  <c r="P20" i="1"/>
  <c r="O20" i="1"/>
  <c r="N20" i="1"/>
  <c r="M20" i="1"/>
  <c r="L20" i="1"/>
  <c r="K20" i="1"/>
  <c r="F4" i="1"/>
  <c r="G4" i="1"/>
  <c r="G20" i="1"/>
  <c r="F20" i="1"/>
  <c r="E20" i="1"/>
  <c r="D20" i="1"/>
  <c r="C20" i="1"/>
  <c r="B20" i="1"/>
  <c r="F3" i="1"/>
  <c r="G3" i="1"/>
  <c r="F6" i="1"/>
  <c r="G6" i="1"/>
  <c r="F7" i="1"/>
  <c r="G7" i="1"/>
  <c r="F8" i="1"/>
  <c r="G8" i="1"/>
  <c r="F9" i="1"/>
  <c r="G9" i="1"/>
  <c r="F10" i="1"/>
  <c r="G10" i="1"/>
  <c r="E4" i="1"/>
  <c r="E3" i="1"/>
  <c r="E6" i="1"/>
  <c r="E7" i="1"/>
  <c r="E9" i="1"/>
  <c r="E10" i="1"/>
  <c r="A26" i="1"/>
  <c r="J26" i="1"/>
  <c r="A27" i="1"/>
  <c r="J27" i="1"/>
  <c r="A28" i="1"/>
  <c r="J28" i="1"/>
  <c r="E8" i="1"/>
  <c r="A24" i="1"/>
  <c r="J24" i="1"/>
  <c r="A25" i="1"/>
  <c r="J25" i="1"/>
  <c r="A22" i="1"/>
  <c r="J22" i="1"/>
  <c r="F56" i="1"/>
  <c r="N38" i="1"/>
  <c r="N39" i="1"/>
  <c r="O38" i="1"/>
  <c r="O39" i="1"/>
  <c r="P38" i="1"/>
  <c r="P39" i="1"/>
  <c r="M38" i="1"/>
  <c r="M39" i="1"/>
  <c r="K38" i="1"/>
  <c r="L38" i="1"/>
  <c r="L39" i="1"/>
  <c r="G25" i="1"/>
  <c r="F25" i="1"/>
  <c r="B28" i="1"/>
  <c r="E26" i="1"/>
  <c r="G26" i="1"/>
  <c r="C26" i="1"/>
  <c r="F27" i="1"/>
  <c r="G27" i="1"/>
  <c r="N8" i="1"/>
  <c r="O8" i="1"/>
  <c r="F26" i="1"/>
  <c r="M25" i="1"/>
  <c r="C27" i="1"/>
  <c r="D27" i="1"/>
  <c r="K21" i="1"/>
  <c r="N21" i="1"/>
  <c r="P21" i="1"/>
  <c r="M21" i="1"/>
  <c r="L21" i="1"/>
  <c r="O21" i="1"/>
  <c r="M26" i="1"/>
  <c r="P26" i="1"/>
  <c r="K26" i="1"/>
  <c r="O26" i="1"/>
  <c r="D22" i="1"/>
  <c r="N3" i="1"/>
  <c r="O3" i="1"/>
  <c r="F22" i="1"/>
  <c r="B22" i="1"/>
  <c r="B29" i="1"/>
  <c r="F28" i="1"/>
  <c r="E25" i="1"/>
  <c r="D25" i="1"/>
  <c r="P24" i="1"/>
  <c r="O24" i="1"/>
  <c r="K24" i="1"/>
  <c r="M24" i="1"/>
  <c r="N24" i="1"/>
  <c r="L24" i="1"/>
  <c r="K22" i="1"/>
  <c r="L22" i="1"/>
  <c r="P22" i="1"/>
  <c r="N22" i="1"/>
  <c r="O22" i="1"/>
  <c r="M22" i="1"/>
  <c r="O28" i="1"/>
  <c r="N28" i="1"/>
  <c r="M28" i="1"/>
  <c r="K28" i="1"/>
  <c r="L28" i="1"/>
  <c r="P28" i="1"/>
  <c r="M27" i="1"/>
  <c r="K27" i="1"/>
  <c r="N27" i="1"/>
  <c r="L27" i="1"/>
  <c r="P27" i="1"/>
  <c r="O27" i="1"/>
  <c r="O25" i="1"/>
  <c r="F24" i="1"/>
  <c r="G22" i="1"/>
  <c r="C22" i="1"/>
  <c r="D24" i="1"/>
  <c r="K25" i="1"/>
  <c r="L26" i="1"/>
  <c r="P25" i="1"/>
  <c r="G24" i="1"/>
  <c r="L25" i="1"/>
  <c r="C24" i="1"/>
  <c r="D28" i="1"/>
  <c r="N4" i="1"/>
  <c r="O4" i="1"/>
  <c r="H21" i="1"/>
  <c r="N26" i="1"/>
  <c r="G28" i="1"/>
  <c r="E24" i="1"/>
  <c r="E29" i="1"/>
  <c r="F29" i="1"/>
  <c r="H25" i="1"/>
  <c r="H27" i="1"/>
  <c r="H28" i="1"/>
  <c r="D11" i="3"/>
  <c r="M40" i="1"/>
  <c r="M41" i="1"/>
  <c r="L40" i="1"/>
  <c r="L41" i="1"/>
  <c r="C11" i="3"/>
  <c r="P40" i="1"/>
  <c r="P41" i="1"/>
  <c r="G11" i="3"/>
  <c r="Q38" i="1"/>
  <c r="Q39" i="1"/>
  <c r="K39" i="1"/>
  <c r="O40" i="1"/>
  <c r="O41" i="1"/>
  <c r="F11" i="3"/>
  <c r="N40" i="1"/>
  <c r="N41" i="1"/>
  <c r="E11" i="3"/>
  <c r="G38" i="1"/>
  <c r="G39" i="1"/>
  <c r="F38" i="1"/>
  <c r="F39" i="1"/>
  <c r="E38" i="1"/>
  <c r="E39" i="1"/>
  <c r="B38" i="1"/>
  <c r="C38" i="1"/>
  <c r="C39" i="1"/>
  <c r="D38" i="1"/>
  <c r="D39" i="1"/>
  <c r="H26" i="1"/>
  <c r="Q28" i="1"/>
  <c r="N29" i="1"/>
  <c r="E10" i="3"/>
  <c r="E12" i="3"/>
  <c r="D29" i="1"/>
  <c r="D42" i="1"/>
  <c r="Q26" i="1"/>
  <c r="L29" i="1"/>
  <c r="H22" i="1"/>
  <c r="C29" i="1"/>
  <c r="C42" i="1"/>
  <c r="M29" i="1"/>
  <c r="D10" i="3"/>
  <c r="D12" i="3"/>
  <c r="O29" i="1"/>
  <c r="O42" i="1"/>
  <c r="O43" i="1"/>
  <c r="F44" i="1"/>
  <c r="G29" i="1"/>
  <c r="G42" i="1"/>
  <c r="Q21" i="1"/>
  <c r="E42" i="1"/>
  <c r="F42" i="1"/>
  <c r="F3" i="3"/>
  <c r="F4" i="3"/>
  <c r="Q22" i="1"/>
  <c r="K29" i="1"/>
  <c r="B3" i="3"/>
  <c r="B42" i="1"/>
  <c r="Q25" i="1"/>
  <c r="Q24" i="1"/>
  <c r="H24" i="1"/>
  <c r="Q27" i="1"/>
  <c r="P29" i="1"/>
  <c r="D5" i="3"/>
  <c r="D40" i="1"/>
  <c r="D6" i="3"/>
  <c r="D41" i="1"/>
  <c r="H38" i="1"/>
  <c r="H39" i="1"/>
  <c r="B39" i="1"/>
  <c r="F6" i="3"/>
  <c r="F7" i="3"/>
  <c r="F8" i="3"/>
  <c r="M42" i="1"/>
  <c r="M43" i="1"/>
  <c r="D44" i="1"/>
  <c r="E40" i="1"/>
  <c r="E6" i="3"/>
  <c r="E41" i="1"/>
  <c r="E43" i="1"/>
  <c r="E5" i="3"/>
  <c r="C40" i="1"/>
  <c r="C6" i="3"/>
  <c r="C41" i="1"/>
  <c r="C43" i="1"/>
  <c r="C5" i="3"/>
  <c r="D43" i="1"/>
  <c r="F5" i="3"/>
  <c r="F40" i="1"/>
  <c r="F41" i="1"/>
  <c r="F43" i="1"/>
  <c r="F45" i="1"/>
  <c r="F2" i="3"/>
  <c r="B11" i="3"/>
  <c r="H11" i="3"/>
  <c r="K40" i="1"/>
  <c r="Q40" i="1"/>
  <c r="Q41" i="1"/>
  <c r="G5" i="3"/>
  <c r="G40" i="1"/>
  <c r="G6" i="3"/>
  <c r="D3" i="3"/>
  <c r="D4" i="3"/>
  <c r="D7" i="3"/>
  <c r="D9" i="3"/>
  <c r="N42" i="1"/>
  <c r="N43" i="1"/>
  <c r="E44" i="1"/>
  <c r="C3" i="3"/>
  <c r="C4" i="3"/>
  <c r="C7" i="3"/>
  <c r="C9" i="3"/>
  <c r="E3" i="3"/>
  <c r="E4" i="3"/>
  <c r="E7" i="3"/>
  <c r="E8" i="3"/>
  <c r="H29" i="1"/>
  <c r="C10" i="3"/>
  <c r="C12" i="3"/>
  <c r="L42" i="1"/>
  <c r="L43" i="1"/>
  <c r="C44" i="1"/>
  <c r="F10" i="3"/>
  <c r="F12" i="3"/>
  <c r="D45" i="1"/>
  <c r="D2" i="3"/>
  <c r="P42" i="1"/>
  <c r="P43" i="1"/>
  <c r="G44" i="1"/>
  <c r="G10" i="3"/>
  <c r="G12" i="3"/>
  <c r="B10" i="3"/>
  <c r="B12" i="3"/>
  <c r="K42" i="1"/>
  <c r="Q29" i="1"/>
  <c r="H42" i="1"/>
  <c r="B4" i="3"/>
  <c r="G3" i="3"/>
  <c r="G4" i="3"/>
  <c r="G7" i="3"/>
  <c r="F9" i="3"/>
  <c r="K41" i="1"/>
  <c r="C45" i="1"/>
  <c r="C2" i="3"/>
  <c r="E45" i="1"/>
  <c r="E2" i="3"/>
  <c r="B40" i="1"/>
  <c r="B41" i="1"/>
  <c r="B43" i="1"/>
  <c r="B5" i="3"/>
  <c r="H5" i="3"/>
  <c r="G41" i="1"/>
  <c r="G43" i="1"/>
  <c r="H43" i="1"/>
  <c r="C8" i="3"/>
  <c r="D14" i="3"/>
  <c r="C14" i="3"/>
  <c r="E9" i="3"/>
  <c r="D8" i="3"/>
  <c r="H3" i="3"/>
  <c r="K43" i="1"/>
  <c r="B44" i="1"/>
  <c r="H44" i="1"/>
  <c r="Q42" i="1"/>
  <c r="Q43" i="1"/>
  <c r="G8" i="3"/>
  <c r="G9" i="3"/>
  <c r="H4" i="3"/>
  <c r="H10" i="3"/>
  <c r="H12" i="3"/>
  <c r="G45" i="1"/>
  <c r="G2" i="3"/>
  <c r="H40" i="1"/>
  <c r="H41" i="1"/>
  <c r="B6" i="3"/>
  <c r="B45" i="1"/>
  <c r="B2" i="3"/>
  <c r="H45" i="1"/>
  <c r="H6" i="3"/>
  <c r="B7" i="3"/>
  <c r="H2" i="3"/>
  <c r="B9" i="3"/>
  <c r="H9" i="3"/>
  <c r="B8" i="3"/>
  <c r="H8" i="3"/>
  <c r="H7" i="3"/>
  <c r="H14" i="3"/>
  <c r="B14" i="3"/>
  <c r="H13" i="3"/>
  <c r="I13" i="3"/>
  <c r="J13" i="3"/>
  <c r="G14" i="3"/>
  <c r="F14" i="3"/>
  <c r="E14" i="3"/>
</calcChain>
</file>

<file path=xl/comments1.xml><?xml version="1.0" encoding="utf-8"?>
<comments xmlns="http://schemas.openxmlformats.org/spreadsheetml/2006/main">
  <authors>
    <author>Bettina Filz</author>
  </authors>
  <commentList>
    <comment ref="B45" authorId="0" shapeId="0">
      <text>
        <r>
          <rPr>
            <b/>
            <sz val="9"/>
            <color indexed="81"/>
            <rFont val="Segoe UI"/>
            <family val="2"/>
          </rPr>
          <t>Bettina Filz:</t>
        </r>
        <r>
          <rPr>
            <sz val="9"/>
            <color indexed="81"/>
            <rFont val="Segoe UI"/>
            <family val="2"/>
          </rPr>
          <t xml:space="preserve">
würde ich auf C40+</t>
        </r>
        <r>
          <rPr>
            <b/>
            <sz val="9"/>
            <color indexed="81"/>
            <rFont val="Segoe UI"/>
            <family val="2"/>
          </rPr>
          <t>C41</t>
        </r>
        <r>
          <rPr>
            <sz val="9"/>
            <color indexed="81"/>
            <rFont val="Segoe UI"/>
            <family val="2"/>
          </rPr>
          <t xml:space="preserve"> verlinken</t>
        </r>
      </text>
    </comment>
  </commentList>
</comments>
</file>

<file path=xl/sharedStrings.xml><?xml version="1.0" encoding="utf-8"?>
<sst xmlns="http://schemas.openxmlformats.org/spreadsheetml/2006/main" count="87" uniqueCount="74">
  <si>
    <t>PostDoc</t>
  </si>
  <si>
    <t>Total</t>
  </si>
  <si>
    <t>Brutto brutto</t>
  </si>
  <si>
    <t>Other costs</t>
  </si>
  <si>
    <t>Gesamt Personal</t>
  </si>
  <si>
    <t>Tenure Track/Ao Prof.</t>
  </si>
  <si>
    <t>Professor</t>
  </si>
  <si>
    <t>Student Assistant</t>
  </si>
  <si>
    <t>Overhead/indirect costs</t>
  </si>
  <si>
    <t>Involvement in the project</t>
  </si>
  <si>
    <t>Hours per week</t>
  </si>
  <si>
    <t>Valorisation p.a.</t>
  </si>
  <si>
    <t>Travel costs</t>
  </si>
  <si>
    <t>Equipment</t>
  </si>
  <si>
    <t>Subcontracting</t>
  </si>
  <si>
    <t>Project duration</t>
  </si>
  <si>
    <t>Personnel costs</t>
  </si>
  <si>
    <t>Total other costs</t>
  </si>
  <si>
    <t>Total other costs incl. OH</t>
  </si>
  <si>
    <t xml:space="preserve"> + Overhead (OH)</t>
  </si>
  <si>
    <t>Kategory 1: Additional personnel, materials etc. to be paid by the project</t>
  </si>
  <si>
    <t>Kategory 2: University resources used within the project</t>
  </si>
  <si>
    <t>Total personnel</t>
  </si>
  <si>
    <t>Total personnel (Kat.1+Kat.2)</t>
  </si>
  <si>
    <t>Total OH personnel (Kat.1+Kat.2)</t>
  </si>
  <si>
    <t>Total other costs (Kat.1+Kat.2)</t>
  </si>
  <si>
    <t>Total OH other costs (Kat.1+Kat.2)</t>
  </si>
  <si>
    <t>Total OH (Kat.1+Kat.2)</t>
  </si>
  <si>
    <t>OH percentage on Total Budget</t>
  </si>
  <si>
    <t>Total project costs (Kat. 1 + Kat. 2)</t>
  </si>
  <si>
    <t>Total direct costs available</t>
  </si>
  <si>
    <t>Stammpersonal excl. OH (Kat. 2) to PI Sammler</t>
  </si>
  <si>
    <t>Other costs excl. OH (Kat. 2) to PI Sammler</t>
  </si>
  <si>
    <t>OH part central</t>
  </si>
  <si>
    <t>OH part Faculty, Centre, Plattform</t>
  </si>
  <si>
    <t>Category</t>
  </si>
  <si>
    <t>Total costs Kat. 1</t>
  </si>
  <si>
    <t>Total costs Kat. 2</t>
  </si>
  <si>
    <t>FTE 2022 per year in €</t>
  </si>
  <si>
    <t>FTE 2022 per month in €</t>
  </si>
  <si>
    <t>Hourly rate in €</t>
  </si>
  <si>
    <t>Daily rate in €</t>
  </si>
  <si>
    <t>Months</t>
  </si>
  <si>
    <t>Please fill in all necessary ORANGE fields related to your planned project. Please be aware, that you need to add all resources (Professor hours, materials etc.) provided by the University and used in the project under Kategory 2 (table on the right).</t>
  </si>
  <si>
    <t xml:space="preserve">TOTAL PROJECT COSTS </t>
  </si>
  <si>
    <t>Price incl. VAT</t>
  </si>
  <si>
    <t>annual rate</t>
  </si>
  <si>
    <t>large technical facilities</t>
  </si>
  <si>
    <t>10 years</t>
  </si>
  <si>
    <t>laboratory facilities</t>
  </si>
  <si>
    <t>small equipment (&lt; 5k incl. VAT)</t>
  </si>
  <si>
    <t>EDV equipment</t>
  </si>
  <si>
    <t>4 years</t>
  </si>
  <si>
    <t>5 years</t>
  </si>
  <si>
    <t>Kat. 1 Device #1</t>
  </si>
  <si>
    <t>Kat. 1 Device #2</t>
  </si>
  <si>
    <t>Kat. 1 Device #3</t>
  </si>
  <si>
    <t>Kat. 2 Device #1</t>
  </si>
  <si>
    <t>Kat. 2 Device #2</t>
  </si>
  <si>
    <t>Kat. 2 Device #3</t>
  </si>
  <si>
    <t xml:space="preserve">Lifetime </t>
  </si>
  <si>
    <t>max. depreciation rate to be charged to the project</t>
  </si>
  <si>
    <t>project duration in years</t>
  </si>
  <si>
    <t>life time in years</t>
  </si>
  <si>
    <t>Total Kategory 1</t>
  </si>
  <si>
    <t>Total Kategory 2</t>
  </si>
  <si>
    <t>Praedoc</t>
  </si>
  <si>
    <t xml:space="preserve">Admin </t>
  </si>
  <si>
    <t>Technical Engineer</t>
  </si>
  <si>
    <t>Equipment costs (depreciation!)*</t>
  </si>
  <si>
    <t xml:space="preserve"> * Equipment costs (&gt; 1.5 k incl. VAT; &lt; 1.5 k = material costs)</t>
  </si>
  <si>
    <t>Material costs &lt; 1.5 k per item</t>
  </si>
  <si>
    <t>Costs PI Sammler total</t>
  </si>
  <si>
    <t>Senior PostDoc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</si>
</sst>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0"/>
    <numFmt numFmtId="166" formatCode="0.0%"/>
    <numFmt numFmtId="167" formatCode="_-* #,##0_-;\-* #,##0_-;_-* &quot;-&quot;??_-;_-@_-"/>
    <numFmt numFmtId="168" formatCode="#,##0\ &quot;€&quot;"/>
  </numFmts>
  <fonts count="12" x14ac:knownFonts="1">
    <font>
      <sz val="11"/>
      <color theme="1"/>
      <name val="Calibri"/>
      <family val="2"/>
      <scheme val="minor"/>
    </font>
    <font>
      <b/>
      <sz val="11"/>
      <color theme="1"/>
      <name val="Calibri"/>
      <family val="2"/>
      <scheme val="minor"/>
    </font>
    <font>
      <sz val="10"/>
      <color theme="1"/>
      <name val="Arial"/>
      <family val="2"/>
    </font>
    <font>
      <i/>
      <sz val="11"/>
      <color theme="1"/>
      <name val="Calibri"/>
      <family val="2"/>
      <scheme val="minor"/>
    </font>
    <font>
      <sz val="11"/>
      <color theme="1"/>
      <name val="Calibri"/>
      <family val="2"/>
      <scheme val="minor"/>
    </font>
    <font>
      <i/>
      <sz val="11"/>
      <name val="Calibri"/>
      <family val="2"/>
      <scheme val="minor"/>
    </font>
    <font>
      <sz val="11"/>
      <name val="Calibri"/>
      <family val="2"/>
      <scheme val="minor"/>
    </font>
    <font>
      <b/>
      <sz val="14"/>
      <name val="Calibri"/>
      <family val="2"/>
      <scheme val="minor"/>
    </font>
    <font>
      <b/>
      <sz val="12"/>
      <color theme="1"/>
      <name val="Calibri"/>
      <family val="2"/>
      <scheme val="minor"/>
    </font>
    <font>
      <sz val="9"/>
      <color indexed="81"/>
      <name val="Segoe UI"/>
      <family val="2"/>
    </font>
    <font>
      <b/>
      <sz val="9"/>
      <color indexed="81"/>
      <name val="Segoe UI"/>
      <family val="2"/>
    </font>
    <font>
      <sz val="11"/>
      <color rgb="FFEB87E6"/>
      <name val="Calibri"/>
      <family val="2"/>
      <scheme val="minor"/>
    </font>
  </fonts>
  <fills count="15">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57DDB"/>
        <bgColor indexed="64"/>
      </patternFill>
    </fill>
    <fill>
      <patternFill patternType="solid">
        <fgColor theme="8"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43" fontId="4" fillId="0" borderId="0" applyFont="0" applyFill="0" applyBorder="0" applyAlignment="0" applyProtection="0"/>
  </cellStyleXfs>
  <cellXfs count="121">
    <xf numFmtId="0" fontId="0" fillId="0" borderId="0" xfId="0"/>
    <xf numFmtId="0" fontId="0" fillId="0" borderId="1" xfId="0" applyBorder="1"/>
    <xf numFmtId="0" fontId="1" fillId="0" borderId="1" xfId="0" applyFont="1" applyBorder="1"/>
    <xf numFmtId="3" fontId="0" fillId="0" borderId="0" xfId="0" applyNumberFormat="1" applyAlignment="1">
      <alignment horizontal="center"/>
    </xf>
    <xf numFmtId="0" fontId="2" fillId="0" borderId="0" xfId="0" applyFont="1"/>
    <xf numFmtId="9" fontId="0" fillId="0" borderId="0" xfId="0" applyNumberFormat="1" applyFill="1" applyAlignment="1">
      <alignment horizontal="center"/>
    </xf>
    <xf numFmtId="165" fontId="0" fillId="0" borderId="0" xfId="0" applyNumberFormat="1"/>
    <xf numFmtId="0" fontId="0" fillId="0" borderId="0" xfId="0" applyBorder="1"/>
    <xf numFmtId="0" fontId="0" fillId="0" borderId="3" xfId="0" applyBorder="1"/>
    <xf numFmtId="0" fontId="0" fillId="0" borderId="7" xfId="0" applyBorder="1"/>
    <xf numFmtId="0" fontId="0" fillId="0" borderId="2" xfId="0" applyBorder="1"/>
    <xf numFmtId="3" fontId="0" fillId="0" borderId="0" xfId="0" applyNumberFormat="1"/>
    <xf numFmtId="0" fontId="3" fillId="0" borderId="0" xfId="0" applyFont="1"/>
    <xf numFmtId="166" fontId="0" fillId="3" borderId="0" xfId="0" applyNumberFormat="1" applyFill="1"/>
    <xf numFmtId="0" fontId="0" fillId="0" borderId="9" xfId="0" applyBorder="1"/>
    <xf numFmtId="0" fontId="0" fillId="0" borderId="14" xfId="0" applyBorder="1"/>
    <xf numFmtId="0" fontId="1" fillId="0" borderId="15" xfId="0" applyFont="1" applyBorder="1"/>
    <xf numFmtId="0" fontId="0" fillId="2" borderId="5" xfId="0" applyFill="1" applyBorder="1" applyAlignment="1">
      <alignment horizontal="center"/>
    </xf>
    <xf numFmtId="0" fontId="1" fillId="0" borderId="3" xfId="0" applyFont="1" applyBorder="1"/>
    <xf numFmtId="0" fontId="1" fillId="0" borderId="16" xfId="0" applyFont="1" applyBorder="1"/>
    <xf numFmtId="0" fontId="0" fillId="4" borderId="1" xfId="0" applyFill="1" applyBorder="1" applyAlignment="1">
      <alignment horizontal="center"/>
    </xf>
    <xf numFmtId="0" fontId="0" fillId="2" borderId="1" xfId="0" applyFill="1" applyBorder="1" applyAlignment="1">
      <alignment horizontal="center"/>
    </xf>
    <xf numFmtId="0" fontId="1" fillId="0" borderId="1" xfId="0" applyFont="1" applyBorder="1" applyAlignment="1">
      <alignment horizontal="center"/>
    </xf>
    <xf numFmtId="0" fontId="0" fillId="7" borderId="3" xfId="0" applyFill="1" applyBorder="1"/>
    <xf numFmtId="0" fontId="5" fillId="9" borderId="1" xfId="0" applyFont="1" applyFill="1" applyBorder="1" applyAlignment="1">
      <alignment horizontal="right"/>
    </xf>
    <xf numFmtId="0" fontId="6" fillId="9" borderId="1" xfId="0" applyFont="1" applyFill="1" applyBorder="1" applyAlignment="1">
      <alignment horizontal="center" vertical="center" wrapText="1"/>
    </xf>
    <xf numFmtId="0" fontId="0" fillId="6" borderId="1" xfId="0" applyFill="1" applyBorder="1"/>
    <xf numFmtId="3" fontId="0" fillId="6" borderId="1" xfId="0" applyNumberFormat="1" applyFill="1" applyBorder="1" applyAlignment="1">
      <alignment horizontal="center"/>
    </xf>
    <xf numFmtId="9" fontId="0" fillId="7" borderId="1" xfId="0" applyNumberFormat="1" applyFill="1" applyBorder="1" applyAlignment="1">
      <alignment horizontal="center"/>
    </xf>
    <xf numFmtId="3" fontId="0" fillId="0" borderId="1" xfId="0" applyNumberFormat="1" applyBorder="1" applyAlignment="1">
      <alignment horizontal="center"/>
    </xf>
    <xf numFmtId="3" fontId="0" fillId="0" borderId="1" xfId="0" applyNumberFormat="1" applyFill="1" applyBorder="1" applyAlignment="1">
      <alignment horizontal="center"/>
    </xf>
    <xf numFmtId="3" fontId="0" fillId="5" borderId="14" xfId="0" applyNumberFormat="1" applyFont="1" applyFill="1" applyBorder="1"/>
    <xf numFmtId="3" fontId="0" fillId="7" borderId="3" xfId="0" applyNumberFormat="1" applyFill="1" applyBorder="1"/>
    <xf numFmtId="3" fontId="0" fillId="7" borderId="1" xfId="0" applyNumberFormat="1" applyFill="1" applyBorder="1"/>
    <xf numFmtId="0" fontId="0" fillId="7" borderId="0" xfId="0" applyFill="1"/>
    <xf numFmtId="3" fontId="3" fillId="7" borderId="0" xfId="0" applyNumberFormat="1" applyFont="1" applyFill="1" applyAlignment="1">
      <alignment horizontal="center"/>
    </xf>
    <xf numFmtId="9" fontId="3" fillId="7" borderId="0" xfId="0" applyNumberFormat="1" applyFont="1" applyFill="1" applyAlignment="1">
      <alignment horizontal="center"/>
    </xf>
    <xf numFmtId="0" fontId="3" fillId="7" borderId="0" xfId="0" applyFont="1" applyFill="1"/>
    <xf numFmtId="0" fontId="0" fillId="7" borderId="0" xfId="0" applyFill="1" applyBorder="1"/>
    <xf numFmtId="3" fontId="0" fillId="10" borderId="3" xfId="0" applyNumberFormat="1" applyFill="1" applyBorder="1"/>
    <xf numFmtId="3" fontId="1" fillId="10" borderId="3" xfId="0" applyNumberFormat="1" applyFont="1" applyFill="1" applyBorder="1"/>
    <xf numFmtId="3" fontId="0" fillId="10" borderId="1" xfId="0" applyNumberFormat="1" applyFill="1" applyBorder="1"/>
    <xf numFmtId="3" fontId="1" fillId="10" borderId="1" xfId="0" applyNumberFormat="1" applyFont="1" applyFill="1" applyBorder="1"/>
    <xf numFmtId="3" fontId="1" fillId="10" borderId="5" xfId="0" applyNumberFormat="1" applyFont="1" applyFill="1" applyBorder="1"/>
    <xf numFmtId="3" fontId="1" fillId="10" borderId="6" xfId="0" applyNumberFormat="1" applyFont="1" applyFill="1" applyBorder="1"/>
    <xf numFmtId="0" fontId="1" fillId="10" borderId="4" xfId="0" applyFont="1" applyFill="1" applyBorder="1" applyAlignment="1">
      <alignment horizontal="center"/>
    </xf>
    <xf numFmtId="3" fontId="0" fillId="10" borderId="11" xfId="0" applyNumberFormat="1" applyFill="1" applyBorder="1"/>
    <xf numFmtId="3" fontId="0" fillId="10" borderId="14" xfId="0" applyNumberFormat="1" applyFont="1" applyFill="1" applyBorder="1"/>
    <xf numFmtId="3" fontId="0" fillId="10" borderId="2" xfId="0" applyNumberFormat="1" applyFill="1" applyBorder="1"/>
    <xf numFmtId="0" fontId="1" fillId="10" borderId="8" xfId="0" applyFont="1" applyFill="1" applyBorder="1" applyAlignment="1">
      <alignment horizontal="center"/>
    </xf>
    <xf numFmtId="0" fontId="1" fillId="10" borderId="6" xfId="0" applyFont="1" applyFill="1" applyBorder="1" applyAlignment="1">
      <alignment horizontal="center"/>
    </xf>
    <xf numFmtId="3" fontId="0" fillId="10" borderId="10" xfId="0" applyNumberFormat="1" applyFill="1" applyBorder="1"/>
    <xf numFmtId="3" fontId="0" fillId="10" borderId="14" xfId="0" applyNumberFormat="1" applyFill="1" applyBorder="1"/>
    <xf numFmtId="9" fontId="0" fillId="3" borderId="0" xfId="0" applyNumberFormat="1" applyFill="1"/>
    <xf numFmtId="0" fontId="1" fillId="8" borderId="12" xfId="0" applyFont="1" applyFill="1" applyBorder="1" applyAlignment="1">
      <alignment wrapText="1"/>
    </xf>
    <xf numFmtId="0" fontId="1" fillId="10" borderId="1" xfId="0" applyFont="1" applyFill="1" applyBorder="1" applyAlignment="1">
      <alignment horizontal="center"/>
    </xf>
    <xf numFmtId="4" fontId="1" fillId="8" borderId="13" xfId="0" applyNumberFormat="1" applyFont="1" applyFill="1" applyBorder="1"/>
    <xf numFmtId="10" fontId="1" fillId="8" borderId="13" xfId="0" applyNumberFormat="1" applyFont="1" applyFill="1" applyBorder="1"/>
    <xf numFmtId="0" fontId="1" fillId="10" borderId="1" xfId="0" applyFont="1" applyFill="1" applyBorder="1"/>
    <xf numFmtId="0" fontId="0" fillId="5" borderId="3" xfId="0" applyFont="1" applyFill="1" applyBorder="1" applyAlignment="1">
      <alignment horizontal="left"/>
    </xf>
    <xf numFmtId="3" fontId="0" fillId="5" borderId="3" xfId="0" applyNumberFormat="1" applyFont="1" applyFill="1" applyBorder="1"/>
    <xf numFmtId="3" fontId="0" fillId="10" borderId="3" xfId="0" applyNumberFormat="1" applyFont="1" applyFill="1" applyBorder="1"/>
    <xf numFmtId="0" fontId="0" fillId="5" borderId="14" xfId="0" applyFont="1" applyFill="1" applyBorder="1" applyAlignment="1">
      <alignment horizontal="left"/>
    </xf>
    <xf numFmtId="0" fontId="0" fillId="10" borderId="14" xfId="0" applyFill="1" applyBorder="1"/>
    <xf numFmtId="0" fontId="0" fillId="10" borderId="3" xfId="0" applyFill="1" applyBorder="1"/>
    <xf numFmtId="167" fontId="0" fillId="6" borderId="1" xfId="1" applyNumberFormat="1" applyFont="1" applyFill="1" applyBorder="1"/>
    <xf numFmtId="167" fontId="0" fillId="0" borderId="1" xfId="1" applyNumberFormat="1" applyFont="1" applyBorder="1"/>
    <xf numFmtId="0" fontId="0" fillId="7" borderId="0" xfId="0" applyFont="1" applyFill="1"/>
    <xf numFmtId="0" fontId="8" fillId="8" borderId="4" xfId="0" applyFont="1" applyFill="1" applyBorder="1" applyAlignment="1">
      <alignment vertical="center" wrapText="1"/>
    </xf>
    <xf numFmtId="3" fontId="8" fillId="8" borderId="5" xfId="0" applyNumberFormat="1" applyFont="1" applyFill="1" applyBorder="1" applyAlignment="1">
      <alignment vertical="center"/>
    </xf>
    <xf numFmtId="0" fontId="1" fillId="6" borderId="1" xfId="0" applyFont="1" applyFill="1" applyBorder="1"/>
    <xf numFmtId="168" fontId="0" fillId="7" borderId="1" xfId="0" applyNumberFormat="1" applyFill="1" applyBorder="1"/>
    <xf numFmtId="0" fontId="0" fillId="7" borderId="1" xfId="0" applyFill="1" applyBorder="1"/>
    <xf numFmtId="0" fontId="1" fillId="6" borderId="1" xfId="0" applyFont="1" applyFill="1" applyBorder="1" applyAlignment="1">
      <alignment wrapText="1"/>
    </xf>
    <xf numFmtId="0" fontId="0" fillId="10" borderId="1" xfId="0" applyFill="1" applyBorder="1"/>
    <xf numFmtId="0" fontId="0" fillId="11" borderId="1" xfId="0" applyFill="1" applyBorder="1"/>
    <xf numFmtId="0" fontId="0" fillId="12" borderId="1" xfId="0" applyFill="1" applyBorder="1"/>
    <xf numFmtId="168" fontId="0" fillId="10" borderId="1" xfId="0" applyNumberFormat="1" applyFill="1" applyBorder="1"/>
    <xf numFmtId="0" fontId="0" fillId="12" borderId="3" xfId="0" applyFill="1" applyBorder="1"/>
    <xf numFmtId="168" fontId="0" fillId="7" borderId="3" xfId="0" applyNumberFormat="1" applyFill="1" applyBorder="1"/>
    <xf numFmtId="168" fontId="0" fillId="10" borderId="3" xfId="0" applyNumberFormat="1" applyFill="1" applyBorder="1"/>
    <xf numFmtId="0" fontId="0" fillId="11" borderId="13" xfId="0" applyFont="1" applyFill="1" applyBorder="1"/>
    <xf numFmtId="168" fontId="0" fillId="7" borderId="13" xfId="0" applyNumberFormat="1" applyFont="1" applyFill="1" applyBorder="1"/>
    <xf numFmtId="0" fontId="0" fillId="7" borderId="13" xfId="0" applyFont="1" applyFill="1" applyBorder="1"/>
    <xf numFmtId="0" fontId="0" fillId="10" borderId="13" xfId="0" applyFont="1" applyFill="1" applyBorder="1"/>
    <xf numFmtId="168" fontId="0" fillId="10" borderId="13" xfId="0" applyNumberFormat="1" applyFont="1" applyFill="1" applyBorder="1"/>
    <xf numFmtId="0" fontId="0" fillId="11" borderId="14" xfId="0" applyFill="1" applyBorder="1"/>
    <xf numFmtId="168" fontId="0" fillId="7" borderId="14" xfId="0" applyNumberFormat="1" applyFill="1" applyBorder="1"/>
    <xf numFmtId="0" fontId="0" fillId="7" borderId="14" xfId="0" applyFill="1" applyBorder="1"/>
    <xf numFmtId="168" fontId="0" fillId="10" borderId="14" xfId="0" applyNumberFormat="1" applyFill="1" applyBorder="1"/>
    <xf numFmtId="0" fontId="0" fillId="12" borderId="14" xfId="0" applyFill="1" applyBorder="1"/>
    <xf numFmtId="0" fontId="0" fillId="12" borderId="5" xfId="0" applyFill="1" applyBorder="1"/>
    <xf numFmtId="168" fontId="0" fillId="7" borderId="5" xfId="0" applyNumberFormat="1" applyFill="1" applyBorder="1"/>
    <xf numFmtId="0" fontId="0" fillId="7" borderId="5" xfId="0" applyFill="1" applyBorder="1"/>
    <xf numFmtId="0" fontId="0" fillId="10" borderId="5" xfId="0" applyFill="1" applyBorder="1"/>
    <xf numFmtId="168" fontId="0" fillId="10" borderId="5" xfId="0" applyNumberFormat="1" applyFill="1" applyBorder="1"/>
    <xf numFmtId="3" fontId="0" fillId="10" borderId="7" xfId="0" applyNumberFormat="1" applyFill="1" applyBorder="1"/>
    <xf numFmtId="0" fontId="0" fillId="12" borderId="3" xfId="0" applyFont="1" applyFill="1" applyBorder="1" applyAlignment="1">
      <alignment horizontal="left"/>
    </xf>
    <xf numFmtId="3" fontId="0" fillId="12" borderId="3" xfId="0" applyNumberFormat="1" applyFont="1" applyFill="1" applyBorder="1"/>
    <xf numFmtId="0" fontId="0" fillId="12" borderId="20" xfId="0" applyFont="1" applyFill="1" applyBorder="1" applyAlignment="1">
      <alignment horizontal="left"/>
    </xf>
    <xf numFmtId="3" fontId="0" fillId="12" borderId="14" xfId="0" applyNumberFormat="1" applyFont="1" applyFill="1" applyBorder="1"/>
    <xf numFmtId="10" fontId="1" fillId="13" borderId="13" xfId="0" applyNumberFormat="1" applyFont="1" applyFill="1" applyBorder="1"/>
    <xf numFmtId="0" fontId="11" fillId="0" borderId="0" xfId="0" applyFont="1"/>
    <xf numFmtId="4" fontId="11" fillId="0" borderId="0" xfId="0" applyNumberFormat="1" applyFont="1"/>
    <xf numFmtId="4" fontId="11" fillId="0" borderId="0" xfId="0" applyNumberFormat="1" applyFont="1" applyFill="1"/>
    <xf numFmtId="0" fontId="0" fillId="12" borderId="21" xfId="0" applyFont="1" applyFill="1" applyBorder="1" applyAlignment="1">
      <alignment horizontal="left"/>
    </xf>
    <xf numFmtId="3" fontId="0" fillId="12" borderId="13" xfId="0" applyNumberFormat="1" applyFont="1" applyFill="1" applyBorder="1"/>
    <xf numFmtId="43" fontId="0" fillId="0" borderId="0" xfId="1" applyNumberFormat="1" applyFont="1"/>
    <xf numFmtId="164" fontId="0" fillId="0" borderId="0" xfId="0" applyNumberFormat="1"/>
    <xf numFmtId="3" fontId="0" fillId="13" borderId="0" xfId="0" applyNumberFormat="1" applyFill="1"/>
    <xf numFmtId="0" fontId="0" fillId="11" borderId="17" xfId="0" applyFont="1" applyFill="1" applyBorder="1" applyAlignment="1">
      <alignment horizontal="left"/>
    </xf>
    <xf numFmtId="3" fontId="0" fillId="11" borderId="2" xfId="0" applyNumberFormat="1" applyFont="1" applyFill="1" applyBorder="1"/>
    <xf numFmtId="3" fontId="0" fillId="14" borderId="14" xfId="0" applyNumberFormat="1" applyFont="1" applyFill="1" applyBorder="1"/>
    <xf numFmtId="0" fontId="0" fillId="12" borderId="19" xfId="0" applyFont="1" applyFill="1" applyBorder="1" applyAlignment="1">
      <alignment horizontal="left"/>
    </xf>
    <xf numFmtId="0" fontId="0" fillId="12" borderId="12" xfId="0" applyFont="1" applyFill="1" applyBorder="1" applyAlignment="1">
      <alignment horizontal="left"/>
    </xf>
    <xf numFmtId="0" fontId="0" fillId="14" borderId="20" xfId="0" applyFont="1" applyFill="1" applyBorder="1" applyAlignment="1">
      <alignment horizontal="left"/>
    </xf>
    <xf numFmtId="0" fontId="7" fillId="11" borderId="18" xfId="0" applyFont="1" applyFill="1" applyBorder="1" applyAlignment="1">
      <alignment horizontal="center"/>
    </xf>
    <xf numFmtId="0" fontId="7" fillId="12" borderId="18" xfId="0" applyFont="1" applyFill="1" applyBorder="1" applyAlignment="1">
      <alignment horizontal="center"/>
    </xf>
    <xf numFmtId="0" fontId="0" fillId="0" borderId="1" xfId="0" applyFill="1" applyBorder="1"/>
    <xf numFmtId="167" fontId="0" fillId="0" borderId="1" xfId="1" applyNumberFormat="1" applyFont="1" applyFill="1" applyBorder="1"/>
    <xf numFmtId="1" fontId="0" fillId="0" borderId="1" xfId="0" applyNumberFormat="1" applyFill="1" applyBorder="1"/>
  </cellXfs>
  <cellStyles count="2">
    <cellStyle name="Komma" xfId="1" builtinId="3"/>
    <cellStyle name="Standard" xfId="0" builtinId="0"/>
  </cellStyles>
  <dxfs count="2">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EB87E6"/>
      <color rgb="FFF57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7"/>
  <sheetViews>
    <sheetView tabSelected="1" workbookViewId="0">
      <selection activeCell="G10" sqref="G10"/>
    </sheetView>
  </sheetViews>
  <sheetFormatPr baseColWidth="10" defaultRowHeight="14.4" x14ac:dyDescent="0.3"/>
  <cols>
    <col min="1" max="1" width="30" customWidth="1"/>
    <col min="2" max="2" width="13.6640625" customWidth="1"/>
    <col min="3" max="3" width="11" customWidth="1"/>
    <col min="4" max="4" width="12.88671875" customWidth="1"/>
    <col min="5" max="5" width="11" customWidth="1"/>
    <col min="6" max="6" width="12.44140625" customWidth="1"/>
    <col min="7" max="8" width="11" customWidth="1"/>
    <col min="9" max="9" width="7.109375" customWidth="1"/>
    <col min="10" max="10" width="30.44140625" customWidth="1"/>
    <col min="11" max="11" width="11" customWidth="1"/>
    <col min="12" max="12" width="12.88671875" customWidth="1"/>
    <col min="13" max="16" width="11" customWidth="1"/>
  </cols>
  <sheetData>
    <row r="1" spans="1:17" ht="18" x14ac:dyDescent="0.35">
      <c r="A1" s="116" t="s">
        <v>20</v>
      </c>
      <c r="B1" s="116"/>
      <c r="C1" s="116"/>
      <c r="D1" s="116"/>
      <c r="E1" s="116"/>
      <c r="F1" s="116"/>
      <c r="G1" s="116"/>
      <c r="H1" s="116"/>
      <c r="J1" s="117" t="s">
        <v>21</v>
      </c>
      <c r="K1" s="117"/>
      <c r="L1" s="117"/>
      <c r="M1" s="117"/>
      <c r="N1" s="117"/>
      <c r="O1" s="117"/>
      <c r="P1" s="117"/>
      <c r="Q1" s="117"/>
    </row>
    <row r="2" spans="1:17" ht="43.2" x14ac:dyDescent="0.3">
      <c r="A2" s="24" t="s">
        <v>2</v>
      </c>
      <c r="B2" s="25" t="s">
        <v>38</v>
      </c>
      <c r="C2" s="25" t="s">
        <v>39</v>
      </c>
      <c r="D2" s="25" t="s">
        <v>9</v>
      </c>
      <c r="E2" s="25" t="s">
        <v>10</v>
      </c>
      <c r="F2" s="25" t="s">
        <v>40</v>
      </c>
      <c r="G2" s="25" t="s">
        <v>41</v>
      </c>
      <c r="J2" s="25" t="str">
        <f t="shared" ref="J2:O2" si="0">B2</f>
        <v>FTE 2022 per year in €</v>
      </c>
      <c r="K2" s="25" t="str">
        <f t="shared" si="0"/>
        <v>FTE 2022 per month in €</v>
      </c>
      <c r="L2" s="25" t="str">
        <f t="shared" si="0"/>
        <v>Involvement in the project</v>
      </c>
      <c r="M2" s="25" t="str">
        <f t="shared" si="0"/>
        <v>Hours per week</v>
      </c>
      <c r="N2" s="25" t="str">
        <f t="shared" si="0"/>
        <v>Hourly rate in €</v>
      </c>
      <c r="O2" s="25" t="str">
        <f t="shared" si="0"/>
        <v>Daily rate in €</v>
      </c>
    </row>
    <row r="3" spans="1:17" x14ac:dyDescent="0.3">
      <c r="A3" s="26" t="s">
        <v>6</v>
      </c>
      <c r="B3" s="27">
        <v>297933</v>
      </c>
      <c r="C3" s="27">
        <f>B3/12</f>
        <v>24827.75</v>
      </c>
      <c r="D3" s="28">
        <v>0</v>
      </c>
      <c r="E3" s="26">
        <f t="shared" ref="E3:E8" si="1">D3*40</f>
        <v>0</v>
      </c>
      <c r="F3" s="65">
        <f>B3/1720</f>
        <v>173.21686046511627</v>
      </c>
      <c r="G3" s="65">
        <f t="shared" ref="G3:G10" si="2">F3*8</f>
        <v>1385.7348837209302</v>
      </c>
      <c r="J3" s="27">
        <f t="shared" ref="J3:J10" si="3">B3</f>
        <v>297933</v>
      </c>
      <c r="K3" s="27">
        <f>J3/12</f>
        <v>24827.75</v>
      </c>
      <c r="L3" s="28">
        <v>0.05</v>
      </c>
      <c r="M3" s="26">
        <f t="shared" ref="M3:M8" si="4">L3*40</f>
        <v>2</v>
      </c>
      <c r="N3" s="65">
        <f>J3/1720</f>
        <v>173.21686046511627</v>
      </c>
      <c r="O3" s="65">
        <f t="shared" ref="O3:O10" si="5">N3*8</f>
        <v>1385.7348837209302</v>
      </c>
    </row>
    <row r="4" spans="1:17" x14ac:dyDescent="0.3">
      <c r="A4" s="1" t="s">
        <v>5</v>
      </c>
      <c r="B4" s="29">
        <v>201545</v>
      </c>
      <c r="C4" s="29">
        <f t="shared" ref="C4:C10" si="6">B4/12</f>
        <v>16795.416666666668</v>
      </c>
      <c r="D4" s="28">
        <v>0</v>
      </c>
      <c r="E4" s="1">
        <f t="shared" si="1"/>
        <v>0</v>
      </c>
      <c r="F4" s="66">
        <f t="shared" ref="F4:F10" si="7">B4/1720</f>
        <v>117.17732558139535</v>
      </c>
      <c r="G4" s="66">
        <f t="shared" si="2"/>
        <v>937.41860465116281</v>
      </c>
      <c r="J4" s="30">
        <f t="shared" si="3"/>
        <v>201545</v>
      </c>
      <c r="K4" s="29">
        <f t="shared" ref="K4:K10" si="8">J4/12</f>
        <v>16795.416666666668</v>
      </c>
      <c r="L4" s="28">
        <v>0</v>
      </c>
      <c r="M4" s="1">
        <f t="shared" si="4"/>
        <v>0</v>
      </c>
      <c r="N4" s="66">
        <f t="shared" ref="N4:N10" si="9">J4/1720</f>
        <v>117.17732558139535</v>
      </c>
      <c r="O4" s="66">
        <f t="shared" si="5"/>
        <v>937.41860465116281</v>
      </c>
    </row>
    <row r="5" spans="1:17" x14ac:dyDescent="0.3">
      <c r="A5" s="26" t="s">
        <v>73</v>
      </c>
      <c r="B5" s="27">
        <v>134400.18119999999</v>
      </c>
      <c r="C5" s="27">
        <f t="shared" si="6"/>
        <v>11200.015099999999</v>
      </c>
      <c r="D5" s="28">
        <v>0</v>
      </c>
      <c r="E5" s="26">
        <f t="shared" si="1"/>
        <v>0</v>
      </c>
      <c r="F5" s="65">
        <f t="shared" si="7"/>
        <v>78.139640232558136</v>
      </c>
      <c r="G5" s="65">
        <f t="shared" si="2"/>
        <v>625.11712186046509</v>
      </c>
      <c r="J5" s="27">
        <f t="shared" si="3"/>
        <v>134400.18119999999</v>
      </c>
      <c r="K5" s="27">
        <f t="shared" si="8"/>
        <v>11200.015099999999</v>
      </c>
      <c r="L5" s="28">
        <v>0</v>
      </c>
      <c r="M5" s="26">
        <f t="shared" si="4"/>
        <v>0</v>
      </c>
      <c r="N5" s="65">
        <f t="shared" si="9"/>
        <v>78.139640232558136</v>
      </c>
      <c r="O5" s="65">
        <f t="shared" si="5"/>
        <v>625.11712186046509</v>
      </c>
    </row>
    <row r="6" spans="1:17" x14ac:dyDescent="0.3">
      <c r="A6" s="118" t="s">
        <v>0</v>
      </c>
      <c r="B6" s="30">
        <v>118242</v>
      </c>
      <c r="C6" s="30">
        <f t="shared" si="6"/>
        <v>9853.5</v>
      </c>
      <c r="D6" s="28">
        <v>0</v>
      </c>
      <c r="E6" s="118">
        <f t="shared" si="1"/>
        <v>0</v>
      </c>
      <c r="F6" s="119">
        <f t="shared" si="7"/>
        <v>68.745348837209306</v>
      </c>
      <c r="G6" s="119">
        <f t="shared" si="2"/>
        <v>549.96279069767445</v>
      </c>
      <c r="J6" s="30">
        <f t="shared" si="3"/>
        <v>118242</v>
      </c>
      <c r="K6" s="30">
        <f t="shared" si="8"/>
        <v>9853.5</v>
      </c>
      <c r="L6" s="28">
        <v>0</v>
      </c>
      <c r="M6" s="118">
        <f t="shared" si="4"/>
        <v>0</v>
      </c>
      <c r="N6" s="119">
        <f t="shared" si="9"/>
        <v>68.745348837209306</v>
      </c>
      <c r="O6" s="119">
        <f t="shared" si="5"/>
        <v>549.96279069767445</v>
      </c>
    </row>
    <row r="7" spans="1:17" x14ac:dyDescent="0.3">
      <c r="A7" s="26" t="s">
        <v>68</v>
      </c>
      <c r="B7" s="27">
        <v>118242</v>
      </c>
      <c r="C7" s="27">
        <f t="shared" si="6"/>
        <v>9853.5</v>
      </c>
      <c r="D7" s="28">
        <v>0</v>
      </c>
      <c r="E7" s="26">
        <f t="shared" si="1"/>
        <v>0</v>
      </c>
      <c r="F7" s="65">
        <f t="shared" si="7"/>
        <v>68.745348837209306</v>
      </c>
      <c r="G7" s="65">
        <f t="shared" si="2"/>
        <v>549.96279069767445</v>
      </c>
      <c r="J7" s="27">
        <f t="shared" si="3"/>
        <v>118242</v>
      </c>
      <c r="K7" s="27">
        <f t="shared" si="8"/>
        <v>9853.5</v>
      </c>
      <c r="L7" s="28">
        <v>0</v>
      </c>
      <c r="M7" s="26">
        <f t="shared" si="4"/>
        <v>0</v>
      </c>
      <c r="N7" s="65">
        <f t="shared" si="9"/>
        <v>68.745348837209306</v>
      </c>
      <c r="O7" s="65">
        <f t="shared" si="5"/>
        <v>549.96279069767445</v>
      </c>
    </row>
    <row r="8" spans="1:17" x14ac:dyDescent="0.3">
      <c r="A8" s="118" t="s">
        <v>66</v>
      </c>
      <c r="B8" s="30">
        <v>93162</v>
      </c>
      <c r="C8" s="30">
        <f t="shared" si="6"/>
        <v>7763.5</v>
      </c>
      <c r="D8" s="28">
        <v>0.75</v>
      </c>
      <c r="E8" s="118">
        <f t="shared" si="1"/>
        <v>30</v>
      </c>
      <c r="F8" s="119">
        <f t="shared" si="7"/>
        <v>54.163953488372094</v>
      </c>
      <c r="G8" s="119">
        <f t="shared" si="2"/>
        <v>433.31162790697675</v>
      </c>
      <c r="J8" s="30">
        <f t="shared" si="3"/>
        <v>93162</v>
      </c>
      <c r="K8" s="30">
        <f t="shared" si="8"/>
        <v>7763.5</v>
      </c>
      <c r="L8" s="28">
        <v>0</v>
      </c>
      <c r="M8" s="118">
        <f t="shared" si="4"/>
        <v>0</v>
      </c>
      <c r="N8" s="119">
        <f t="shared" si="9"/>
        <v>54.163953488372094</v>
      </c>
      <c r="O8" s="119">
        <f t="shared" si="5"/>
        <v>433.31162790697675</v>
      </c>
    </row>
    <row r="9" spans="1:17" x14ac:dyDescent="0.3">
      <c r="A9" s="26" t="s">
        <v>67</v>
      </c>
      <c r="B9" s="27">
        <v>90356</v>
      </c>
      <c r="C9" s="27">
        <f t="shared" si="6"/>
        <v>7529.666666666667</v>
      </c>
      <c r="D9" s="28">
        <v>0</v>
      </c>
      <c r="E9" s="26">
        <f>D9*40</f>
        <v>0</v>
      </c>
      <c r="F9" s="65">
        <f t="shared" si="7"/>
        <v>52.532558139534885</v>
      </c>
      <c r="G9" s="65">
        <f t="shared" si="2"/>
        <v>420.26046511627908</v>
      </c>
      <c r="J9" s="27">
        <f t="shared" si="3"/>
        <v>90356</v>
      </c>
      <c r="K9" s="27">
        <f t="shared" si="8"/>
        <v>7529.666666666667</v>
      </c>
      <c r="L9" s="28">
        <v>0</v>
      </c>
      <c r="M9" s="26">
        <f>L9*40</f>
        <v>0</v>
      </c>
      <c r="N9" s="65">
        <f t="shared" si="9"/>
        <v>52.532558139534885</v>
      </c>
      <c r="O9" s="65">
        <f t="shared" si="5"/>
        <v>420.26046511627908</v>
      </c>
    </row>
    <row r="10" spans="1:17" x14ac:dyDescent="0.3">
      <c r="A10" s="118" t="s">
        <v>7</v>
      </c>
      <c r="B10" s="30">
        <v>63769</v>
      </c>
      <c r="C10" s="30">
        <f t="shared" si="6"/>
        <v>5314.083333333333</v>
      </c>
      <c r="D10" s="28">
        <v>0</v>
      </c>
      <c r="E10" s="118">
        <f>D10*40</f>
        <v>0</v>
      </c>
      <c r="F10" s="120">
        <f t="shared" si="7"/>
        <v>37.075000000000003</v>
      </c>
      <c r="G10" s="119">
        <f t="shared" si="2"/>
        <v>296.60000000000002</v>
      </c>
      <c r="J10" s="30">
        <f t="shared" si="3"/>
        <v>63769</v>
      </c>
      <c r="K10" s="30">
        <f t="shared" si="8"/>
        <v>5314.083333333333</v>
      </c>
      <c r="L10" s="28">
        <v>0</v>
      </c>
      <c r="M10" s="118">
        <f>L10*40</f>
        <v>0</v>
      </c>
      <c r="N10" s="119">
        <f t="shared" si="9"/>
        <v>37.075000000000003</v>
      </c>
      <c r="O10" s="119">
        <f t="shared" si="5"/>
        <v>296.60000000000002</v>
      </c>
    </row>
    <row r="11" spans="1:17" x14ac:dyDescent="0.3">
      <c r="A11" s="4"/>
      <c r="B11" s="3"/>
      <c r="C11" s="3"/>
      <c r="D11" s="5"/>
      <c r="F11" s="6"/>
      <c r="G11" s="6"/>
      <c r="H11" s="6"/>
      <c r="I11" s="7"/>
      <c r="J11" s="7"/>
      <c r="K11" s="7"/>
      <c r="L11" s="7"/>
      <c r="M11" s="7"/>
      <c r="N11" s="7"/>
    </row>
    <row r="12" spans="1:17" x14ac:dyDescent="0.3">
      <c r="A12" s="67" t="s">
        <v>43</v>
      </c>
      <c r="B12" s="35"/>
      <c r="C12" s="35"/>
      <c r="D12" s="36"/>
      <c r="E12" s="37"/>
      <c r="F12" s="37"/>
      <c r="G12" s="34"/>
      <c r="H12" s="34"/>
      <c r="I12" s="38"/>
      <c r="J12" s="38"/>
      <c r="K12" s="38"/>
      <c r="L12" s="38"/>
      <c r="M12" s="38"/>
      <c r="N12" s="38"/>
      <c r="O12" s="34"/>
      <c r="P12" s="34"/>
      <c r="Q12" s="34"/>
    </row>
    <row r="13" spans="1:17" x14ac:dyDescent="0.3">
      <c r="B13" s="12"/>
      <c r="C13" s="12"/>
      <c r="D13" s="12"/>
      <c r="E13" s="12"/>
      <c r="F13" s="12"/>
      <c r="I13" s="7"/>
      <c r="J13" s="7"/>
      <c r="K13" s="7"/>
      <c r="L13" s="7"/>
      <c r="M13" s="7"/>
      <c r="N13" s="7"/>
    </row>
    <row r="14" spans="1:17" x14ac:dyDescent="0.3">
      <c r="A14" t="s">
        <v>11</v>
      </c>
      <c r="B14" s="13">
        <v>0.04</v>
      </c>
      <c r="I14" s="7"/>
      <c r="J14" s="7"/>
      <c r="K14" s="7"/>
      <c r="L14" s="7"/>
      <c r="M14" s="7"/>
      <c r="N14" s="7"/>
    </row>
    <row r="15" spans="1:17" x14ac:dyDescent="0.3">
      <c r="I15" s="7"/>
      <c r="J15" s="7"/>
      <c r="K15" s="7"/>
      <c r="L15" s="7"/>
      <c r="M15" s="7"/>
      <c r="N15" s="7"/>
    </row>
    <row r="16" spans="1:17" ht="18" x14ac:dyDescent="0.35">
      <c r="A16" s="116" t="s">
        <v>20</v>
      </c>
      <c r="B16" s="116"/>
      <c r="C16" s="116"/>
      <c r="D16" s="116"/>
      <c r="E16" s="116"/>
      <c r="F16" s="116"/>
      <c r="G16" s="116"/>
      <c r="H16" s="116"/>
      <c r="I16" s="7"/>
      <c r="J16" s="117" t="s">
        <v>21</v>
      </c>
      <c r="K16" s="117"/>
      <c r="L16" s="117"/>
      <c r="M16" s="117"/>
      <c r="N16" s="117"/>
      <c r="O16" s="117"/>
      <c r="P16" s="117"/>
      <c r="Q16" s="117"/>
    </row>
    <row r="17" spans="1:17" x14ac:dyDescent="0.3">
      <c r="A17" s="2" t="s">
        <v>15</v>
      </c>
      <c r="B17" s="21">
        <v>2022</v>
      </c>
      <c r="C17" s="21">
        <v>2023</v>
      </c>
      <c r="D17" s="21">
        <v>2024</v>
      </c>
      <c r="E17" s="21">
        <v>2025</v>
      </c>
      <c r="F17" s="21">
        <v>2026</v>
      </c>
      <c r="G17" s="21">
        <v>2027</v>
      </c>
      <c r="H17" s="22" t="s">
        <v>1</v>
      </c>
      <c r="I17" s="7"/>
      <c r="J17" s="2" t="str">
        <f>A17</f>
        <v>Project duration</v>
      </c>
      <c r="K17" s="21">
        <v>2022</v>
      </c>
      <c r="L17" s="21">
        <v>2023</v>
      </c>
      <c r="M17" s="21">
        <v>2024</v>
      </c>
      <c r="N17" s="21">
        <v>2025</v>
      </c>
      <c r="O17" s="21">
        <v>2026</v>
      </c>
      <c r="P17" s="21">
        <v>2027</v>
      </c>
      <c r="Q17" s="22" t="s">
        <v>1</v>
      </c>
    </row>
    <row r="18" spans="1:17" x14ac:dyDescent="0.3">
      <c r="A18" s="8" t="s">
        <v>42</v>
      </c>
      <c r="B18" s="23">
        <v>6</v>
      </c>
      <c r="C18" s="23">
        <v>12</v>
      </c>
      <c r="D18" s="23">
        <v>6</v>
      </c>
      <c r="E18" s="23">
        <v>0</v>
      </c>
      <c r="F18" s="23">
        <v>0</v>
      </c>
      <c r="G18" s="23">
        <v>0</v>
      </c>
      <c r="H18" s="18">
        <f>SUM(B18:G18)</f>
        <v>24</v>
      </c>
      <c r="I18" s="7"/>
      <c r="J18" s="8" t="str">
        <f>A18</f>
        <v>Months</v>
      </c>
      <c r="K18" s="23">
        <v>6</v>
      </c>
      <c r="L18" s="23">
        <v>12</v>
      </c>
      <c r="M18" s="23">
        <v>6</v>
      </c>
      <c r="N18" s="23">
        <v>0</v>
      </c>
      <c r="O18" s="23">
        <v>0</v>
      </c>
      <c r="P18" s="23">
        <v>0</v>
      </c>
      <c r="Q18" s="18">
        <f>SUM(K18:P18)</f>
        <v>24</v>
      </c>
    </row>
    <row r="19" spans="1:17" ht="15" thickBot="1" x14ac:dyDescent="0.35">
      <c r="I19" s="7"/>
    </row>
    <row r="20" spans="1:17" ht="15" thickBot="1" x14ac:dyDescent="0.35">
      <c r="A20" s="19" t="s">
        <v>16</v>
      </c>
      <c r="B20" s="17">
        <f t="shared" ref="B20:G20" si="10">B17</f>
        <v>2022</v>
      </c>
      <c r="C20" s="17">
        <f t="shared" si="10"/>
        <v>2023</v>
      </c>
      <c r="D20" s="17">
        <f t="shared" si="10"/>
        <v>2024</v>
      </c>
      <c r="E20" s="17">
        <f t="shared" si="10"/>
        <v>2025</v>
      </c>
      <c r="F20" s="17">
        <f t="shared" si="10"/>
        <v>2026</v>
      </c>
      <c r="G20" s="17">
        <f t="shared" si="10"/>
        <v>2027</v>
      </c>
      <c r="H20" s="50" t="s">
        <v>1</v>
      </c>
      <c r="I20" s="7"/>
      <c r="J20" s="19" t="str">
        <f>A20</f>
        <v>Personnel costs</v>
      </c>
      <c r="K20" s="17">
        <f t="shared" ref="K20:P20" si="11">K17</f>
        <v>2022</v>
      </c>
      <c r="L20" s="17">
        <f t="shared" si="11"/>
        <v>2023</v>
      </c>
      <c r="M20" s="17">
        <f t="shared" si="11"/>
        <v>2024</v>
      </c>
      <c r="N20" s="17">
        <f t="shared" si="11"/>
        <v>2025</v>
      </c>
      <c r="O20" s="17">
        <f t="shared" si="11"/>
        <v>2026</v>
      </c>
      <c r="P20" s="17">
        <f t="shared" si="11"/>
        <v>2027</v>
      </c>
      <c r="Q20" s="50" t="s">
        <v>1</v>
      </c>
    </row>
    <row r="21" spans="1:17" x14ac:dyDescent="0.3">
      <c r="A21" s="8" t="str">
        <f>A3</f>
        <v>Professor</v>
      </c>
      <c r="B21" s="39">
        <f>$B$18*C3*D3</f>
        <v>0</v>
      </c>
      <c r="C21" s="39">
        <f>$C$18*C3*D3*(1+$B$14)</f>
        <v>0</v>
      </c>
      <c r="D21" s="39">
        <f>$D$18*C3*D3*(1+$B$14)*(1+$B$14)</f>
        <v>0</v>
      </c>
      <c r="E21" s="39">
        <f>$E$18*C3*D3*(1+$B$14)*(1+$B$14)*(1+$B$14)</f>
        <v>0</v>
      </c>
      <c r="F21" s="39">
        <f>$F$18*C3*D3*(1+$B$14)*(1+$B$14)*(1+$B$14)*(1+$B$14)</f>
        <v>0</v>
      </c>
      <c r="G21" s="39">
        <f>$G$18*C3*D3*(1+$B$14)*(1+$B$14)*(1+$B$14)*(1+$B$14)*(1+$B$14)</f>
        <v>0</v>
      </c>
      <c r="H21" s="40">
        <f t="shared" ref="H21:H28" si="12">SUM(B21:G21)</f>
        <v>0</v>
      </c>
      <c r="I21" s="7"/>
      <c r="J21" s="8" t="str">
        <f>A21</f>
        <v>Professor</v>
      </c>
      <c r="K21" s="39">
        <f>$K$18*K3*L3</f>
        <v>7448.3250000000007</v>
      </c>
      <c r="L21" s="39">
        <f>$L$18*K3*L3*(1+$B$14)</f>
        <v>15492.516000000001</v>
      </c>
      <c r="M21" s="39">
        <f>$M$18*K3*L3*(1+$B$14)*(1+$B$14)</f>
        <v>8056.1083200000012</v>
      </c>
      <c r="N21" s="39">
        <f>$N$18*K3*L3*(1+$B$14)*(1+$B$14)*(1+$B$14)</f>
        <v>0</v>
      </c>
      <c r="O21" s="39">
        <f>$O$18*K3*L3*(1+$B$14)*(1+$B$14)*(1+$B$14)*(1+$B$14)</f>
        <v>0</v>
      </c>
      <c r="P21" s="39">
        <f>$P$18*K3*L3*(1+$B$14)*(1+$B$14)*(1+$B$14)*(1+$B$14)*(1+$B$14)</f>
        <v>0</v>
      </c>
      <c r="Q21" s="40">
        <f t="shared" ref="Q21:Q28" si="13">SUM(K21:P21)</f>
        <v>30996.94932</v>
      </c>
    </row>
    <row r="22" spans="1:17" x14ac:dyDescent="0.3">
      <c r="A22" s="1" t="str">
        <f>A4</f>
        <v>Tenure Track/Ao Prof.</v>
      </c>
      <c r="B22" s="41">
        <f>$B$18*C4*D4</f>
        <v>0</v>
      </c>
      <c r="C22" s="41">
        <f>$C$18*C4*D4*(1+$B$14)</f>
        <v>0</v>
      </c>
      <c r="D22" s="41">
        <f>$D$18*C4*D4*(1+$B$14)*(1+$B$14)</f>
        <v>0</v>
      </c>
      <c r="E22" s="41">
        <f>$E$18*C4*D4*(1+$B$14)*(1+$B$14)*(1+$B$14)</f>
        <v>0</v>
      </c>
      <c r="F22" s="41">
        <f>$F$18*C4*D4*(1+$B$14)*(1+$B$14)*(1+$B$14)*(1+$B$14)</f>
        <v>0</v>
      </c>
      <c r="G22" s="41">
        <f>$G$18*C4*D4*(1+$B$14)*(1+$B$14)*(1+$B$14)*(1+$B$14)*(1+$B$14)</f>
        <v>0</v>
      </c>
      <c r="H22" s="42">
        <f t="shared" si="12"/>
        <v>0</v>
      </c>
      <c r="I22" s="7"/>
      <c r="J22" s="8" t="str">
        <f t="shared" ref="J22:J28" si="14">A22</f>
        <v>Tenure Track/Ao Prof.</v>
      </c>
      <c r="K22" s="39">
        <f>$K$18*K4*L4</f>
        <v>0</v>
      </c>
      <c r="L22" s="39">
        <f>$L$18*K4*L4*(1+$B$14)</f>
        <v>0</v>
      </c>
      <c r="M22" s="39">
        <f>$M$18*K4*L4*(1+$B$14)*(1+$B$14)</f>
        <v>0</v>
      </c>
      <c r="N22" s="39">
        <f>$N$18*K4*L4*(1+$B$14)*(1+$B$14)*(1+$B$14)</f>
        <v>0</v>
      </c>
      <c r="O22" s="39">
        <f>$O$18*K4*L4*(1+$B$14)*(1+$B$14)*(1+$B$14)*(1+$B$14)</f>
        <v>0</v>
      </c>
      <c r="P22" s="39">
        <f>$P$18*K4*L4*(1+$B$14)*(1+$B$14)*(1+$B$14)*(1+$B$14)*(1+$B$14)</f>
        <v>0</v>
      </c>
      <c r="Q22" s="42">
        <f t="shared" si="13"/>
        <v>0</v>
      </c>
    </row>
    <row r="23" spans="1:17" x14ac:dyDescent="0.3">
      <c r="A23" s="1" t="s">
        <v>73</v>
      </c>
      <c r="B23" s="41">
        <f>$B$18*C5*D5</f>
        <v>0</v>
      </c>
      <c r="C23" s="41">
        <f>$C$18*C5*D5*(1+$B$14)</f>
        <v>0</v>
      </c>
      <c r="D23" s="41">
        <f>$D$18*C5*D5*(1+$B$14)*(1+$B$14)</f>
        <v>0</v>
      </c>
      <c r="E23" s="41">
        <f>$E$18*C5*D5*(1+$B$14)*(1+$B$14)*(1+$B$14)</f>
        <v>0</v>
      </c>
      <c r="F23" s="41">
        <f>$F$18*C5*D5*(1+$B$14)*(1+$B$14)*(1+$B$14)*(1+$B$14)</f>
        <v>0</v>
      </c>
      <c r="G23" s="41">
        <f>$G$18*C5*D5*(1+$B$14)*(1+$B$14)*(1+$B$14)*(1+$B$14)*(1+$B$14)</f>
        <v>0</v>
      </c>
      <c r="H23" s="42">
        <f t="shared" ref="H23" si="15">SUM(B23:G23)</f>
        <v>0</v>
      </c>
      <c r="I23" s="7"/>
      <c r="J23" s="1" t="s">
        <v>73</v>
      </c>
      <c r="K23" s="39">
        <f>$K$18*K5*L5</f>
        <v>0</v>
      </c>
      <c r="L23" s="39">
        <f>$L$18*K5*L5*(1+$B$14)</f>
        <v>0</v>
      </c>
      <c r="M23" s="39">
        <f>$M$18*K5*L5*(1+$B$14)*(1+$B$14)</f>
        <v>0</v>
      </c>
      <c r="N23" s="39">
        <f>$N$18*K5*L5*(1+$B$14)*(1+$B$14)*(1+$B$14)</f>
        <v>0</v>
      </c>
      <c r="O23" s="39">
        <f>$O$18*K5*L5*(1+$B$14)*(1+$B$14)*(1+$B$14)*(1+$B$14)</f>
        <v>0</v>
      </c>
      <c r="P23" s="39">
        <f>$P$18*K5*L5*(1+$B$14)*(1+$B$14)*(1+$B$14)*(1+$B$14)*(1+$B$14)</f>
        <v>0</v>
      </c>
      <c r="Q23" s="42">
        <f t="shared" ref="Q23" si="16">SUM(K23:P23)</f>
        <v>0</v>
      </c>
    </row>
    <row r="24" spans="1:17" x14ac:dyDescent="0.3">
      <c r="A24" s="1" t="str">
        <f>A6</f>
        <v>PostDoc</v>
      </c>
      <c r="B24" s="41">
        <f>$B$18*C6*D6</f>
        <v>0</v>
      </c>
      <c r="C24" s="41">
        <f>$C$18*C6*D6*(1+$B$14)</f>
        <v>0</v>
      </c>
      <c r="D24" s="41">
        <f>$D$18*C6*D6*(1+$B$14)*(1+$B$14)</f>
        <v>0</v>
      </c>
      <c r="E24" s="41">
        <f>$E$18*C6*D6*(1+$B$14)*(1+$B$14)*(1+$B$14)</f>
        <v>0</v>
      </c>
      <c r="F24" s="41">
        <f>$F$18*C6*D6*(1+$B$14)*(1+$B$14)*(1+$B$14)*(1+$B$14)</f>
        <v>0</v>
      </c>
      <c r="G24" s="41">
        <f>$G$18*C6*D6*(1+$B$14)*(1+$B$14)*(1+$B$14)*(1+$B$14)*(1+$B$14)</f>
        <v>0</v>
      </c>
      <c r="H24" s="42">
        <f t="shared" si="12"/>
        <v>0</v>
      </c>
      <c r="I24" s="7"/>
      <c r="J24" s="8" t="str">
        <f t="shared" si="14"/>
        <v>PostDoc</v>
      </c>
      <c r="K24" s="39">
        <f>$K$18*K6*L6</f>
        <v>0</v>
      </c>
      <c r="L24" s="39">
        <f>$L$18*K6*L6*(1+$B$14)</f>
        <v>0</v>
      </c>
      <c r="M24" s="39">
        <f>$M$18*K6*L6*(1+$B$14)*(1+$B$14)</f>
        <v>0</v>
      </c>
      <c r="N24" s="39">
        <f>$N$18*K6*L6*(1+$B$14)*(1+$B$14)*(1+$B$14)</f>
        <v>0</v>
      </c>
      <c r="O24" s="39">
        <f>$O$18*K6*L6*(1+$B$14)*(1+$B$14)*(1+$B$14)*(1+$B$14)</f>
        <v>0</v>
      </c>
      <c r="P24" s="39">
        <f>$P$18*K6*L6*(1+$B$14)*(1+$B$14)*(1+$B$14)*(1+$B$14)*(1+$B$14)</f>
        <v>0</v>
      </c>
      <c r="Q24" s="42">
        <f t="shared" si="13"/>
        <v>0</v>
      </c>
    </row>
    <row r="25" spans="1:17" x14ac:dyDescent="0.3">
      <c r="A25" s="1" t="str">
        <f>A7</f>
        <v>Technical Engineer</v>
      </c>
      <c r="B25" s="41">
        <f>$B$18*C7*D7</f>
        <v>0</v>
      </c>
      <c r="C25" s="41">
        <f>$C$18*C7*D7*(1+$B$14)</f>
        <v>0</v>
      </c>
      <c r="D25" s="41">
        <f>$D$18*C7*D7*(1+$B$14)*(1+$B$14)</f>
        <v>0</v>
      </c>
      <c r="E25" s="41">
        <f>$E$18*C7*D7*(1+$B$14)*(1+$B$14)*(1+$B$14)</f>
        <v>0</v>
      </c>
      <c r="F25" s="41">
        <f>$F$18*C7*D7*(1+$B$14)*(1+$B$14)*(1+$B$14)*(1+$B$14)</f>
        <v>0</v>
      </c>
      <c r="G25" s="41">
        <f>$G$18*C7*D7*(1+$B$14)*(1+$B$14)*(1+$B$14)*(1+$B$14)*(1+$B$14)</f>
        <v>0</v>
      </c>
      <c r="H25" s="42">
        <f t="shared" si="12"/>
        <v>0</v>
      </c>
      <c r="I25" s="7"/>
      <c r="J25" s="8" t="str">
        <f t="shared" si="14"/>
        <v>Technical Engineer</v>
      </c>
      <c r="K25" s="39">
        <f>$K$18*K7*L7</f>
        <v>0</v>
      </c>
      <c r="L25" s="39">
        <f>$L$18*K7*L7*(1+$B$14)</f>
        <v>0</v>
      </c>
      <c r="M25" s="39">
        <f>$M$18*K7*L7*(1+$B$14)*(1+$B$14)</f>
        <v>0</v>
      </c>
      <c r="N25" s="39">
        <f>$N$18*K7*L7*(1+$B$14)*(1+$B$14)*(1+$B$14)</f>
        <v>0</v>
      </c>
      <c r="O25" s="39">
        <f>$O$18*K7*L7*(1+$B$14)*(1+$B$14)*(1+$B$14)*(1+$B$14)</f>
        <v>0</v>
      </c>
      <c r="P25" s="39">
        <f>$P$18*K7*L7*(1+$B$14)*(1+$B$14)*(1+$B$14)*(1+$B$14)*(1+$B$14)</f>
        <v>0</v>
      </c>
      <c r="Q25" s="42">
        <f t="shared" si="13"/>
        <v>0</v>
      </c>
    </row>
    <row r="26" spans="1:17" x14ac:dyDescent="0.3">
      <c r="A26" s="1" t="str">
        <f>A8</f>
        <v>Praedoc</v>
      </c>
      <c r="B26" s="41">
        <f>$B$18*C8*D8</f>
        <v>34935.75</v>
      </c>
      <c r="C26" s="41">
        <f>$C$18*C8*D8*(1+$B$14)</f>
        <v>72666.36</v>
      </c>
      <c r="D26" s="41">
        <f>$D$18*C8*D8*(1+$B$14)*(1+$B$14)</f>
        <v>37786.5072</v>
      </c>
      <c r="E26" s="41">
        <f>$E$18*C8*D8*(1+$B$14)*(1+$B$14)*(1+$B$14)</f>
        <v>0</v>
      </c>
      <c r="F26" s="41">
        <f>$F$18*C8*D8*(1+$B$14)*(1+$B$14)*(1+$B$14)*(1+$B$14)</f>
        <v>0</v>
      </c>
      <c r="G26" s="41">
        <f>$G$18*C8*D8*(1+$B$14)*(1+$B$14)*(1+$B$14)*(1+$B$14)*(1+$B$14)</f>
        <v>0</v>
      </c>
      <c r="H26" s="42">
        <f t="shared" si="12"/>
        <v>145388.61720000001</v>
      </c>
      <c r="I26" s="7"/>
      <c r="J26" s="8" t="str">
        <f t="shared" si="14"/>
        <v>Praedoc</v>
      </c>
      <c r="K26" s="39">
        <f>$K$18*K8*L8</f>
        <v>0</v>
      </c>
      <c r="L26" s="39">
        <f>$L$18*K8*L8*(1+$B$14)</f>
        <v>0</v>
      </c>
      <c r="M26" s="39">
        <f>$M$18*K8*L8*(1+$B$14)*(1+$B$14)</f>
        <v>0</v>
      </c>
      <c r="N26" s="39">
        <f>$N$18*K8*L8*(1+$B$14)*(1+$B$14)*(1+$B$14)</f>
        <v>0</v>
      </c>
      <c r="O26" s="39">
        <f>$O$18*K8*L8*(1+$B$14)*(1+$B$14)*(1+$B$14)*(1+$B$14)</f>
        <v>0</v>
      </c>
      <c r="P26" s="39">
        <f>$P$18*K8*L8*(1+$B$14)*(1+$B$14)*(1+$B$14)*(1+$B$14)*(1+$B$14)</f>
        <v>0</v>
      </c>
      <c r="Q26" s="42">
        <f t="shared" si="13"/>
        <v>0</v>
      </c>
    </row>
    <row r="27" spans="1:17" x14ac:dyDescent="0.3">
      <c r="A27" s="1" t="str">
        <f>A9</f>
        <v xml:space="preserve">Admin </v>
      </c>
      <c r="B27" s="41">
        <f>$B$18*C9*D9</f>
        <v>0</v>
      </c>
      <c r="C27" s="41">
        <f>$C$18*C9*D9*(1+$B$14)</f>
        <v>0</v>
      </c>
      <c r="D27" s="41">
        <f>$D$18*C9*D9*(1+$B$14)*(1+$B$14)</f>
        <v>0</v>
      </c>
      <c r="E27" s="41">
        <f>$E$18*C9*D9*(1+$B$14)*(1+$B$14)*(1+$B$14)</f>
        <v>0</v>
      </c>
      <c r="F27" s="41">
        <f>$F$18*C9*D9*(1+$B$14)*(1+$B$14)*(1+$B$14)*(1+$B$14)</f>
        <v>0</v>
      </c>
      <c r="G27" s="41">
        <f>$G$18*C9*D9*(1+$B$14)*(1+$B$14)*(1+$B$14)*(1+$B$14)*(1+$B$14)</f>
        <v>0</v>
      </c>
      <c r="H27" s="42">
        <f t="shared" si="12"/>
        <v>0</v>
      </c>
      <c r="I27" s="7"/>
      <c r="J27" s="8" t="str">
        <f t="shared" si="14"/>
        <v xml:space="preserve">Admin </v>
      </c>
      <c r="K27" s="39">
        <f>$K$18*K9*L9</f>
        <v>0</v>
      </c>
      <c r="L27" s="39">
        <f>$L$18*K9*L9*(1+$B$14)</f>
        <v>0</v>
      </c>
      <c r="M27" s="39">
        <f>$M$18*K9*L9*(1+$B$14)*(1+$B$14)</f>
        <v>0</v>
      </c>
      <c r="N27" s="39">
        <f>$N$18*K9*L9*(1+$B$14)*(1+$B$14)*(1+$B$14)</f>
        <v>0</v>
      </c>
      <c r="O27" s="39">
        <f>$O$18*K9*L9*(1+$B$14)*(1+$B$14)*(1+$B$14)*(1+$B$14)</f>
        <v>0</v>
      </c>
      <c r="P27" s="39">
        <f>$P$18*K9*L9*(1+$B$14)*(1+$B$14)*(1+$B$14)*(1+$B$14)*(1+$B$14)</f>
        <v>0</v>
      </c>
      <c r="Q27" s="42">
        <f t="shared" si="13"/>
        <v>0</v>
      </c>
    </row>
    <row r="28" spans="1:17" ht="15" thickBot="1" x14ac:dyDescent="0.35">
      <c r="A28" s="9" t="str">
        <f>A10</f>
        <v>Student Assistant</v>
      </c>
      <c r="B28" s="41">
        <f>$B$18*C10*D10</f>
        <v>0</v>
      </c>
      <c r="C28" s="41">
        <f>$C$18*C10*D10*(1+$B$14)</f>
        <v>0</v>
      </c>
      <c r="D28" s="41">
        <f>$D$18*C10*D10*(1+$B$14)*(1+$B$14)</f>
        <v>0</v>
      </c>
      <c r="E28" s="41">
        <f>$E$18*C10*D10*(1+$B$14)*(1+$B$14)*(1+$B$14)</f>
        <v>0</v>
      </c>
      <c r="F28" s="41">
        <f>$F$18*C10*D10*(1+$B$14)*(1+$B$14)*(1+$B$14)*(1+$B$14)</f>
        <v>0</v>
      </c>
      <c r="G28" s="41">
        <f>$G$18*C10*D10*(1+$B$14)*(1+$B$14)*(1+$B$14)*(1+$B$14)*(1+$B$14)</f>
        <v>0</v>
      </c>
      <c r="H28" s="42">
        <f t="shared" si="12"/>
        <v>0</v>
      </c>
      <c r="I28" s="7"/>
      <c r="J28" s="8" t="str">
        <f t="shared" si="14"/>
        <v>Student Assistant</v>
      </c>
      <c r="K28" s="39">
        <f>$K$18*K10*L10</f>
        <v>0</v>
      </c>
      <c r="L28" s="39">
        <f>$L$18*K10*L10*(1+$B$14)</f>
        <v>0</v>
      </c>
      <c r="M28" s="39">
        <f>$M$18*K10*L10*(1+$B$14)*(1+$B$14)</f>
        <v>0</v>
      </c>
      <c r="N28" s="39">
        <f>$N$18*K10*L10*(1+$B$14)*(1+$B$14)*(1+$B$14)</f>
        <v>0</v>
      </c>
      <c r="O28" s="39">
        <f>$O$18*K10*L10*(1+$B$14)*(1+$B$14)*(1+$B$14)*(1+$B$14)</f>
        <v>0</v>
      </c>
      <c r="P28" s="39">
        <f>$P$18*K10*L10*(1+$B$14)*(1+$B$14)*(1+$B$14)*(1+$B$14)*(1+$B$14)</f>
        <v>0</v>
      </c>
      <c r="Q28" s="42">
        <f t="shared" si="13"/>
        <v>0</v>
      </c>
    </row>
    <row r="29" spans="1:17" ht="15" thickBot="1" x14ac:dyDescent="0.35">
      <c r="A29" s="45" t="s">
        <v>4</v>
      </c>
      <c r="B29" s="43">
        <f t="shared" ref="B29:H29" si="17">SUM(B21:B28)</f>
        <v>34935.75</v>
      </c>
      <c r="C29" s="43">
        <f t="shared" si="17"/>
        <v>72666.36</v>
      </c>
      <c r="D29" s="43">
        <f t="shared" si="17"/>
        <v>37786.5072</v>
      </c>
      <c r="E29" s="43">
        <f t="shared" si="17"/>
        <v>0</v>
      </c>
      <c r="F29" s="43">
        <f t="shared" si="17"/>
        <v>0</v>
      </c>
      <c r="G29" s="43">
        <f t="shared" si="17"/>
        <v>0</v>
      </c>
      <c r="H29" s="44">
        <f t="shared" si="17"/>
        <v>145388.61720000001</v>
      </c>
      <c r="I29" s="7"/>
      <c r="J29" s="45" t="s">
        <v>4</v>
      </c>
      <c r="K29" s="43">
        <f t="shared" ref="K29:Q29" si="18">SUM(K21:K28)</f>
        <v>7448.3250000000007</v>
      </c>
      <c r="L29" s="43">
        <f t="shared" si="18"/>
        <v>15492.516000000001</v>
      </c>
      <c r="M29" s="43">
        <f t="shared" si="18"/>
        <v>8056.1083200000012</v>
      </c>
      <c r="N29" s="43">
        <f t="shared" si="18"/>
        <v>0</v>
      </c>
      <c r="O29" s="43">
        <f t="shared" si="18"/>
        <v>0</v>
      </c>
      <c r="P29" s="43">
        <f t="shared" si="18"/>
        <v>0</v>
      </c>
      <c r="Q29" s="44">
        <f t="shared" si="18"/>
        <v>30996.94932</v>
      </c>
    </row>
    <row r="31" spans="1:17" x14ac:dyDescent="0.3">
      <c r="A31" t="s">
        <v>8</v>
      </c>
      <c r="B31" s="53">
        <v>0.25</v>
      </c>
      <c r="H31" s="11"/>
      <c r="J31" t="str">
        <f>A31</f>
        <v>Overhead/indirect costs</v>
      </c>
      <c r="K31" s="53">
        <v>0.25</v>
      </c>
      <c r="Q31" s="11"/>
    </row>
    <row r="32" spans="1:17" ht="15" thickBot="1" x14ac:dyDescent="0.35"/>
    <row r="33" spans="1:17" ht="15" thickBot="1" x14ac:dyDescent="0.35">
      <c r="A33" s="16" t="s">
        <v>3</v>
      </c>
      <c r="B33" s="17">
        <f t="shared" ref="B33:G33" si="19">B17</f>
        <v>2022</v>
      </c>
      <c r="C33" s="17">
        <f t="shared" si="19"/>
        <v>2023</v>
      </c>
      <c r="D33" s="17">
        <f t="shared" si="19"/>
        <v>2024</v>
      </c>
      <c r="E33" s="17">
        <f t="shared" si="19"/>
        <v>2025</v>
      </c>
      <c r="F33" s="17">
        <f t="shared" si="19"/>
        <v>2026</v>
      </c>
      <c r="G33" s="17">
        <f t="shared" si="19"/>
        <v>2027</v>
      </c>
      <c r="H33" s="49" t="s">
        <v>1</v>
      </c>
      <c r="J33" s="16" t="str">
        <f>A33</f>
        <v>Other costs</v>
      </c>
      <c r="K33" s="17">
        <f t="shared" ref="K33:P33" si="20">K17</f>
        <v>2022</v>
      </c>
      <c r="L33" s="17">
        <f t="shared" si="20"/>
        <v>2023</v>
      </c>
      <c r="M33" s="17">
        <f t="shared" si="20"/>
        <v>2024</v>
      </c>
      <c r="N33" s="17">
        <f t="shared" si="20"/>
        <v>2025</v>
      </c>
      <c r="O33" s="17">
        <f t="shared" si="20"/>
        <v>2026</v>
      </c>
      <c r="P33" s="17">
        <f t="shared" si="20"/>
        <v>2027</v>
      </c>
      <c r="Q33" s="49" t="s">
        <v>1</v>
      </c>
    </row>
    <row r="34" spans="1:17" x14ac:dyDescent="0.3">
      <c r="A34" s="1" t="s">
        <v>71</v>
      </c>
      <c r="B34" s="32"/>
      <c r="C34" s="32"/>
      <c r="D34" s="32"/>
      <c r="E34" s="32"/>
      <c r="F34" s="32"/>
      <c r="G34" s="32"/>
      <c r="H34" s="40">
        <f>SUM(B34:G34)</f>
        <v>0</v>
      </c>
      <c r="J34" s="1" t="str">
        <f>A34</f>
        <v>Material costs &lt; 1.5 k per item</v>
      </c>
      <c r="K34" s="32"/>
      <c r="L34" s="32"/>
      <c r="M34" s="32"/>
      <c r="N34" s="32"/>
      <c r="O34" s="32"/>
      <c r="P34" s="32"/>
      <c r="Q34" s="40">
        <f>SUM(K34:P34)</f>
        <v>0</v>
      </c>
    </row>
    <row r="35" spans="1:17" x14ac:dyDescent="0.3">
      <c r="A35" s="1" t="s">
        <v>12</v>
      </c>
      <c r="B35" s="33"/>
      <c r="C35" s="33"/>
      <c r="D35" s="33"/>
      <c r="E35" s="33"/>
      <c r="F35" s="33"/>
      <c r="G35" s="32"/>
      <c r="H35" s="40">
        <f>SUM(B35:G35)</f>
        <v>0</v>
      </c>
      <c r="J35" s="1" t="str">
        <f t="shared" ref="J35:J38" si="21">A35</f>
        <v>Travel costs</v>
      </c>
      <c r="K35" s="33"/>
      <c r="L35" s="33"/>
      <c r="M35" s="33"/>
      <c r="N35" s="33"/>
      <c r="O35" s="33"/>
      <c r="P35" s="32"/>
      <c r="Q35" s="40">
        <f>SUM(K35:P35)</f>
        <v>0</v>
      </c>
    </row>
    <row r="36" spans="1:17" x14ac:dyDescent="0.3">
      <c r="A36" s="1" t="s">
        <v>14</v>
      </c>
      <c r="B36" s="33"/>
      <c r="C36" s="33"/>
      <c r="D36" s="33"/>
      <c r="E36" s="33"/>
      <c r="F36" s="33"/>
      <c r="G36" s="32"/>
      <c r="H36" s="40">
        <f>SUM(B36:G36)</f>
        <v>0</v>
      </c>
      <c r="J36" s="1" t="str">
        <f t="shared" si="21"/>
        <v>Subcontracting</v>
      </c>
      <c r="K36" s="33"/>
      <c r="L36" s="33"/>
      <c r="M36" s="33"/>
      <c r="N36" s="33"/>
      <c r="O36" s="33"/>
      <c r="P36" s="32"/>
      <c r="Q36" s="40">
        <f>SUM(K36:P36)</f>
        <v>0</v>
      </c>
    </row>
    <row r="37" spans="1:17" x14ac:dyDescent="0.3">
      <c r="A37" s="1" t="s">
        <v>3</v>
      </c>
      <c r="B37" s="33"/>
      <c r="C37" s="33"/>
      <c r="D37" s="33"/>
      <c r="E37" s="33"/>
      <c r="F37" s="33"/>
      <c r="G37" s="32"/>
      <c r="H37" s="40">
        <f>SUM(B37:G37)</f>
        <v>0</v>
      </c>
      <c r="J37" s="1" t="str">
        <f t="shared" si="21"/>
        <v>Other costs</v>
      </c>
      <c r="K37" s="33"/>
      <c r="L37" s="33"/>
      <c r="M37" s="33"/>
      <c r="N37" s="33"/>
      <c r="O37" s="33"/>
      <c r="P37" s="32"/>
      <c r="Q37" s="40">
        <f>SUM(K37:P37)</f>
        <v>0</v>
      </c>
    </row>
    <row r="38" spans="1:17" ht="15" thickBot="1" x14ac:dyDescent="0.35">
      <c r="A38" s="8" t="s">
        <v>69</v>
      </c>
      <c r="B38" s="96">
        <f t="shared" ref="B38:G38" si="22">$F$56/$H$18*B18</f>
        <v>712.5</v>
      </c>
      <c r="C38" s="96">
        <f t="shared" si="22"/>
        <v>1425</v>
      </c>
      <c r="D38" s="96">
        <f t="shared" si="22"/>
        <v>712.5</v>
      </c>
      <c r="E38" s="96">
        <f t="shared" si="22"/>
        <v>0</v>
      </c>
      <c r="F38" s="96">
        <f t="shared" si="22"/>
        <v>0</v>
      </c>
      <c r="G38" s="96">
        <f t="shared" si="22"/>
        <v>0</v>
      </c>
      <c r="H38" s="40">
        <f>SUM(B38:G38)</f>
        <v>2850</v>
      </c>
      <c r="J38" s="1" t="str">
        <f t="shared" si="21"/>
        <v>Equipment costs (depreciation!)*</v>
      </c>
      <c r="K38" s="96">
        <f t="shared" ref="K38:P38" si="23">$F$60/$Q$18*K18</f>
        <v>450</v>
      </c>
      <c r="L38" s="96">
        <f t="shared" si="23"/>
        <v>900</v>
      </c>
      <c r="M38" s="96">
        <f t="shared" si="23"/>
        <v>450</v>
      </c>
      <c r="N38" s="96">
        <f t="shared" si="23"/>
        <v>0</v>
      </c>
      <c r="O38" s="96">
        <f t="shared" si="23"/>
        <v>0</v>
      </c>
      <c r="P38" s="96">
        <f t="shared" si="23"/>
        <v>0</v>
      </c>
      <c r="Q38" s="40">
        <f>SUM(K38:P38)</f>
        <v>1800</v>
      </c>
    </row>
    <row r="39" spans="1:17" x14ac:dyDescent="0.3">
      <c r="A39" s="14" t="s">
        <v>17</v>
      </c>
      <c r="B39" s="51">
        <f>SUM(B34:B38)</f>
        <v>712.5</v>
      </c>
      <c r="C39" s="51">
        <f t="shared" ref="C39:G39" si="24">SUM(C34:C38)</f>
        <v>1425</v>
      </c>
      <c r="D39" s="51">
        <f>SUM(D34:D38)</f>
        <v>712.5</v>
      </c>
      <c r="E39" s="51">
        <f t="shared" si="24"/>
        <v>0</v>
      </c>
      <c r="F39" s="51">
        <f t="shared" si="24"/>
        <v>0</v>
      </c>
      <c r="G39" s="51">
        <f t="shared" si="24"/>
        <v>0</v>
      </c>
      <c r="H39" s="46">
        <f>SUM(H34:H38)</f>
        <v>2850</v>
      </c>
      <c r="J39" s="14" t="str">
        <f>A39</f>
        <v>Total other costs</v>
      </c>
      <c r="K39" s="51">
        <f>SUM(K34:K38)</f>
        <v>450</v>
      </c>
      <c r="L39" s="51">
        <f t="shared" ref="L39" si="25">SUM(L34:L38)</f>
        <v>900</v>
      </c>
      <c r="M39" s="51">
        <f>SUM(M34:M38)</f>
        <v>450</v>
      </c>
      <c r="N39" s="51">
        <f t="shared" ref="N39:P39" si="26">SUM(N34:N38)</f>
        <v>0</v>
      </c>
      <c r="O39" s="51">
        <f t="shared" si="26"/>
        <v>0</v>
      </c>
      <c r="P39" s="51">
        <f t="shared" si="26"/>
        <v>0</v>
      </c>
      <c r="Q39" s="46">
        <f>SUM(Q34:Q38)</f>
        <v>1800</v>
      </c>
    </row>
    <row r="40" spans="1:17" ht="15" thickBot="1" x14ac:dyDescent="0.35">
      <c r="A40" s="15" t="s">
        <v>19</v>
      </c>
      <c r="B40" s="52">
        <f t="shared" ref="B40:G40" si="27">B39*$B$31</f>
        <v>178.125</v>
      </c>
      <c r="C40" s="52">
        <f t="shared" si="27"/>
        <v>356.25</v>
      </c>
      <c r="D40" s="52">
        <f t="shared" si="27"/>
        <v>178.125</v>
      </c>
      <c r="E40" s="52">
        <f t="shared" si="27"/>
        <v>0</v>
      </c>
      <c r="F40" s="52">
        <f t="shared" si="27"/>
        <v>0</v>
      </c>
      <c r="G40" s="52">
        <f t="shared" si="27"/>
        <v>0</v>
      </c>
      <c r="H40" s="47">
        <f>SUM(B40:G40)</f>
        <v>712.5</v>
      </c>
      <c r="J40" s="15" t="str">
        <f>A40</f>
        <v xml:space="preserve"> + Overhead (OH)</v>
      </c>
      <c r="K40" s="52">
        <f t="shared" ref="K40:O40" si="28">K39*$B$31</f>
        <v>112.5</v>
      </c>
      <c r="L40" s="52">
        <f t="shared" si="28"/>
        <v>225</v>
      </c>
      <c r="M40" s="52">
        <f t="shared" si="28"/>
        <v>112.5</v>
      </c>
      <c r="N40" s="52">
        <f t="shared" si="28"/>
        <v>0</v>
      </c>
      <c r="O40" s="52">
        <f t="shared" si="28"/>
        <v>0</v>
      </c>
      <c r="P40" s="52">
        <f>P39*$B$31</f>
        <v>0</v>
      </c>
      <c r="Q40" s="47">
        <f>SUM(K40:P40)</f>
        <v>450</v>
      </c>
    </row>
    <row r="41" spans="1:17" x14ac:dyDescent="0.3">
      <c r="A41" s="10" t="s">
        <v>18</v>
      </c>
      <c r="B41" s="48">
        <f>SUM(B39:B40)</f>
        <v>890.625</v>
      </c>
      <c r="C41" s="48">
        <f t="shared" ref="C41:H41" si="29">SUM(C39:C40)</f>
        <v>1781.25</v>
      </c>
      <c r="D41" s="48">
        <f t="shared" si="29"/>
        <v>890.625</v>
      </c>
      <c r="E41" s="48">
        <f t="shared" si="29"/>
        <v>0</v>
      </c>
      <c r="F41" s="48">
        <f t="shared" si="29"/>
        <v>0</v>
      </c>
      <c r="G41" s="48">
        <f>SUM(G39:G40)</f>
        <v>0</v>
      </c>
      <c r="H41" s="48">
        <f t="shared" si="29"/>
        <v>3562.5</v>
      </c>
      <c r="J41" s="10" t="str">
        <f>A41</f>
        <v>Total other costs incl. OH</v>
      </c>
      <c r="K41" s="48">
        <f>SUM(K39:K40)</f>
        <v>562.5</v>
      </c>
      <c r="L41" s="48">
        <f t="shared" ref="L41:O41" si="30">SUM(L39:L40)</f>
        <v>1125</v>
      </c>
      <c r="M41" s="48">
        <f t="shared" si="30"/>
        <v>562.5</v>
      </c>
      <c r="N41" s="48">
        <f t="shared" si="30"/>
        <v>0</v>
      </c>
      <c r="O41" s="48">
        <f t="shared" si="30"/>
        <v>0</v>
      </c>
      <c r="P41" s="48">
        <f>SUM(P39:P40)</f>
        <v>0</v>
      </c>
      <c r="Q41" s="48">
        <f>SUM(Q39:Q40)</f>
        <v>2250</v>
      </c>
    </row>
    <row r="42" spans="1:17" ht="15" thickBot="1" x14ac:dyDescent="0.35">
      <c r="A42" s="15" t="s">
        <v>22</v>
      </c>
      <c r="B42" s="52">
        <f t="shared" ref="B42:G42" si="31">B29</f>
        <v>34935.75</v>
      </c>
      <c r="C42" s="52">
        <f t="shared" si="31"/>
        <v>72666.36</v>
      </c>
      <c r="D42" s="52">
        <f t="shared" si="31"/>
        <v>37786.5072</v>
      </c>
      <c r="E42" s="52">
        <f t="shared" si="31"/>
        <v>0</v>
      </c>
      <c r="F42" s="52">
        <f t="shared" si="31"/>
        <v>0</v>
      </c>
      <c r="G42" s="52">
        <f t="shared" si="31"/>
        <v>0</v>
      </c>
      <c r="H42" s="47">
        <f>SUM(B42:G42)</f>
        <v>145388.61720000001</v>
      </c>
      <c r="J42" s="15" t="str">
        <f>A42</f>
        <v>Total personnel</v>
      </c>
      <c r="K42" s="52">
        <f>K29</f>
        <v>7448.3250000000007</v>
      </c>
      <c r="L42" s="52">
        <f t="shared" ref="L42:P42" si="32">L29</f>
        <v>15492.516000000001</v>
      </c>
      <c r="M42" s="52">
        <f t="shared" si="32"/>
        <v>8056.1083200000012</v>
      </c>
      <c r="N42" s="52">
        <f t="shared" si="32"/>
        <v>0</v>
      </c>
      <c r="O42" s="52">
        <f t="shared" si="32"/>
        <v>0</v>
      </c>
      <c r="P42" s="52">
        <f t="shared" si="32"/>
        <v>0</v>
      </c>
      <c r="Q42" s="47">
        <f>SUM(K42:P42)</f>
        <v>30996.94932</v>
      </c>
    </row>
    <row r="43" spans="1:17" ht="15" thickBot="1" x14ac:dyDescent="0.35">
      <c r="A43" s="110" t="s">
        <v>36</v>
      </c>
      <c r="B43" s="111">
        <f>SUM(B41:B42)</f>
        <v>35826.375</v>
      </c>
      <c r="C43" s="111">
        <f t="shared" ref="C43:G43" si="33">SUM(C41:C42)</f>
        <v>74447.61</v>
      </c>
      <c r="D43" s="111">
        <f>SUM(D41:D42)</f>
        <v>38677.1322</v>
      </c>
      <c r="E43" s="111">
        <f t="shared" si="33"/>
        <v>0</v>
      </c>
      <c r="F43" s="111">
        <f t="shared" si="33"/>
        <v>0</v>
      </c>
      <c r="G43" s="111">
        <f t="shared" si="33"/>
        <v>0</v>
      </c>
      <c r="H43" s="111">
        <f>SUM(B43:G43)</f>
        <v>148951.11720000001</v>
      </c>
      <c r="J43" s="114" t="str">
        <f>A44</f>
        <v>Total costs Kat. 2</v>
      </c>
      <c r="K43" s="106">
        <f>SUM(K41:K42)</f>
        <v>8010.8250000000007</v>
      </c>
      <c r="L43" s="106">
        <f t="shared" ref="L43:Q43" si="34">SUM(L41:L42)</f>
        <v>16617.516000000003</v>
      </c>
      <c r="M43" s="106">
        <f t="shared" si="34"/>
        <v>8618.6083200000012</v>
      </c>
      <c r="N43" s="106">
        <f t="shared" si="34"/>
        <v>0</v>
      </c>
      <c r="O43" s="106">
        <f t="shared" si="34"/>
        <v>0</v>
      </c>
      <c r="P43" s="106">
        <f t="shared" si="34"/>
        <v>0</v>
      </c>
      <c r="Q43" s="106">
        <f t="shared" si="34"/>
        <v>33246.94932</v>
      </c>
    </row>
    <row r="44" spans="1:17" ht="15" thickBot="1" x14ac:dyDescent="0.35">
      <c r="A44" s="113" t="s">
        <v>37</v>
      </c>
      <c r="B44" s="100">
        <f>K43</f>
        <v>8010.8250000000007</v>
      </c>
      <c r="C44" s="100">
        <f t="shared" ref="C44:G44" si="35">L43</f>
        <v>16617.516000000003</v>
      </c>
      <c r="D44" s="100">
        <f t="shared" si="35"/>
        <v>8618.6083200000012</v>
      </c>
      <c r="E44" s="100">
        <f t="shared" si="35"/>
        <v>0</v>
      </c>
      <c r="F44" s="100">
        <f t="shared" si="35"/>
        <v>0</v>
      </c>
      <c r="G44" s="100">
        <f t="shared" si="35"/>
        <v>0</v>
      </c>
      <c r="H44" s="100">
        <f>SUM(B44:G44)</f>
        <v>33246.949320000007</v>
      </c>
    </row>
    <row r="45" spans="1:17" ht="16.2" thickBot="1" x14ac:dyDescent="0.35">
      <c r="A45" s="68" t="s">
        <v>44</v>
      </c>
      <c r="B45" s="69">
        <f>B43+K43</f>
        <v>43837.2</v>
      </c>
      <c r="C45" s="69">
        <f>C43+C44</f>
        <v>91065.126000000004</v>
      </c>
      <c r="D45" s="69">
        <f t="shared" ref="D45:H45" si="36">D43+D44</f>
        <v>47295.740519999999</v>
      </c>
      <c r="E45" s="69">
        <f t="shared" si="36"/>
        <v>0</v>
      </c>
      <c r="F45" s="69">
        <f t="shared" si="36"/>
        <v>0</v>
      </c>
      <c r="G45" s="69">
        <f t="shared" si="36"/>
        <v>0</v>
      </c>
      <c r="H45" s="69">
        <f t="shared" si="36"/>
        <v>182198.06652000002</v>
      </c>
    </row>
    <row r="52" spans="1:6" ht="72" x14ac:dyDescent="0.3">
      <c r="A52" s="73" t="s">
        <v>70</v>
      </c>
      <c r="B52" s="70" t="s">
        <v>45</v>
      </c>
      <c r="C52" s="73" t="s">
        <v>63</v>
      </c>
      <c r="D52" s="70" t="s">
        <v>46</v>
      </c>
      <c r="E52" s="73" t="s">
        <v>62</v>
      </c>
      <c r="F52" s="73" t="s">
        <v>61</v>
      </c>
    </row>
    <row r="53" spans="1:6" x14ac:dyDescent="0.3">
      <c r="A53" s="75" t="s">
        <v>54</v>
      </c>
      <c r="B53" s="71">
        <v>1700</v>
      </c>
      <c r="C53" s="72">
        <v>4</v>
      </c>
      <c r="D53" s="74">
        <f>IF(B53&lt;=0, ,B53/C53)</f>
        <v>425</v>
      </c>
      <c r="E53" s="74">
        <f>IF(B53&gt;0,H18/12,0)</f>
        <v>2</v>
      </c>
      <c r="F53" s="77">
        <f>IF(B53&gt;0,B53/C53*E53,0)</f>
        <v>850</v>
      </c>
    </row>
    <row r="54" spans="1:6" x14ac:dyDescent="0.3">
      <c r="A54" s="75" t="s">
        <v>55</v>
      </c>
      <c r="B54" s="71">
        <v>10000</v>
      </c>
      <c r="C54" s="72">
        <v>10</v>
      </c>
      <c r="D54" s="74">
        <f t="shared" ref="D54:D59" si="37">IF(B54&lt;=0, ,B54/C54)</f>
        <v>1000</v>
      </c>
      <c r="E54" s="74">
        <f>IF(B54&gt;0,H18/12,0)</f>
        <v>2</v>
      </c>
      <c r="F54" s="77">
        <f t="shared" ref="F54:F59" si="38">IF(B54&gt;0,B54/C54*E54,0)</f>
        <v>2000</v>
      </c>
    </row>
    <row r="55" spans="1:6" ht="15" thickBot="1" x14ac:dyDescent="0.35">
      <c r="A55" s="86" t="s">
        <v>56</v>
      </c>
      <c r="B55" s="87"/>
      <c r="C55" s="88"/>
      <c r="D55" s="63">
        <f t="shared" si="37"/>
        <v>0</v>
      </c>
      <c r="E55" s="63">
        <f>IF(B55&gt;0,H18/12,0)</f>
        <v>0</v>
      </c>
      <c r="F55" s="89">
        <f t="shared" si="38"/>
        <v>0</v>
      </c>
    </row>
    <row r="56" spans="1:6" ht="15" thickBot="1" x14ac:dyDescent="0.35">
      <c r="A56" s="81" t="s">
        <v>64</v>
      </c>
      <c r="B56" s="82"/>
      <c r="C56" s="83"/>
      <c r="D56" s="84"/>
      <c r="E56" s="84"/>
      <c r="F56" s="85">
        <f>SUM(F53:F55)</f>
        <v>2850</v>
      </c>
    </row>
    <row r="57" spans="1:6" x14ac:dyDescent="0.3">
      <c r="A57" s="78" t="s">
        <v>57</v>
      </c>
      <c r="B57" s="79">
        <v>4500</v>
      </c>
      <c r="C57" s="23">
        <v>5</v>
      </c>
      <c r="D57" s="64">
        <f t="shared" si="37"/>
        <v>900</v>
      </c>
      <c r="E57" s="64">
        <f>IF(B57&gt;0,Q18/12,0)</f>
        <v>2</v>
      </c>
      <c r="F57" s="80">
        <f t="shared" si="38"/>
        <v>1800</v>
      </c>
    </row>
    <row r="58" spans="1:6" x14ac:dyDescent="0.3">
      <c r="A58" s="76" t="s">
        <v>58</v>
      </c>
      <c r="B58" s="71"/>
      <c r="C58" s="72"/>
      <c r="D58" s="74">
        <f t="shared" si="37"/>
        <v>0</v>
      </c>
      <c r="E58" s="74">
        <f>IF(B58&gt;0,Q18/12,0)</f>
        <v>0</v>
      </c>
      <c r="F58" s="77">
        <f t="shared" si="38"/>
        <v>0</v>
      </c>
    </row>
    <row r="59" spans="1:6" ht="15" thickBot="1" x14ac:dyDescent="0.35">
      <c r="A59" s="90" t="s">
        <v>59</v>
      </c>
      <c r="B59" s="87"/>
      <c r="C59" s="88"/>
      <c r="D59" s="63">
        <f t="shared" si="37"/>
        <v>0</v>
      </c>
      <c r="E59" s="63">
        <f>IF(B59&gt;0,Q18/12,0)</f>
        <v>0</v>
      </c>
      <c r="F59" s="89">
        <f t="shared" si="38"/>
        <v>0</v>
      </c>
    </row>
    <row r="60" spans="1:6" ht="15" thickBot="1" x14ac:dyDescent="0.35">
      <c r="A60" s="91" t="s">
        <v>65</v>
      </c>
      <c r="B60" s="92"/>
      <c r="C60" s="93"/>
      <c r="D60" s="94"/>
      <c r="E60" s="94"/>
      <c r="F60" s="95">
        <f>SUM(F57:F59)</f>
        <v>1800</v>
      </c>
    </row>
    <row r="63" spans="1:6" x14ac:dyDescent="0.3">
      <c r="A63" s="70" t="s">
        <v>13</v>
      </c>
      <c r="B63" s="70" t="s">
        <v>60</v>
      </c>
    </row>
    <row r="64" spans="1:6" x14ac:dyDescent="0.3">
      <c r="A64" s="26" t="s">
        <v>47</v>
      </c>
      <c r="B64" s="26" t="s">
        <v>48</v>
      </c>
    </row>
    <row r="65" spans="1:2" x14ac:dyDescent="0.3">
      <c r="A65" s="26" t="s">
        <v>49</v>
      </c>
      <c r="B65" s="26" t="s">
        <v>48</v>
      </c>
    </row>
    <row r="66" spans="1:2" x14ac:dyDescent="0.3">
      <c r="A66" s="26" t="s">
        <v>50</v>
      </c>
      <c r="B66" s="26" t="s">
        <v>53</v>
      </c>
    </row>
    <row r="67" spans="1:2" x14ac:dyDescent="0.3">
      <c r="A67" s="26" t="s">
        <v>51</v>
      </c>
      <c r="B67" s="26" t="s">
        <v>52</v>
      </c>
    </row>
  </sheetData>
  <mergeCells count="4">
    <mergeCell ref="A16:H16"/>
    <mergeCell ref="J16:Q16"/>
    <mergeCell ref="A1:H1"/>
    <mergeCell ref="J1:Q1"/>
  </mergeCells>
  <pageMargins left="0.70866141732283472" right="0.70866141732283472" top="0.78740157480314965" bottom="0.78740157480314965" header="0.31496062992125984" footer="0.31496062992125984"/>
  <pageSetup paperSize="9" scale="60" orientation="landscape" r:id="rId1"/>
  <customProperties>
    <customPr name="_pios_id" r:id="rId2"/>
  </customProperties>
  <ignoredErrors>
    <ignoredError sqref="C39:D39 E39:G39" formulaRange="1"/>
    <ignoredError sqref="H39 B42:G42 H41 H42 K42:Q42 Q39 Q41 F56" formula="1"/>
  </ignoredError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J13" sqref="J13"/>
    </sheetView>
  </sheetViews>
  <sheetFormatPr baseColWidth="10" defaultRowHeight="14.4" x14ac:dyDescent="0.3"/>
  <cols>
    <col min="1" max="1" width="57.6640625" customWidth="1"/>
    <col min="9" max="9" width="13.109375" customWidth="1"/>
    <col min="10" max="10" width="13" bestFit="1" customWidth="1"/>
  </cols>
  <sheetData>
    <row r="1" spans="1:10" x14ac:dyDescent="0.3">
      <c r="A1" s="58" t="s">
        <v>35</v>
      </c>
      <c r="B1" s="20">
        <f>'Internal Calculation'!B33</f>
        <v>2022</v>
      </c>
      <c r="C1" s="20">
        <f>'Internal Calculation'!C33</f>
        <v>2023</v>
      </c>
      <c r="D1" s="20">
        <f>'Internal Calculation'!D33</f>
        <v>2024</v>
      </c>
      <c r="E1" s="20">
        <f>'Internal Calculation'!E33</f>
        <v>2025</v>
      </c>
      <c r="F1" s="20">
        <f>'Internal Calculation'!F33</f>
        <v>2026</v>
      </c>
      <c r="G1" s="20">
        <f>'Internal Calculation'!G33</f>
        <v>2027</v>
      </c>
      <c r="H1" s="55" t="s">
        <v>1</v>
      </c>
    </row>
    <row r="2" spans="1:10" ht="15" thickBot="1" x14ac:dyDescent="0.35">
      <c r="A2" s="63" t="s">
        <v>29</v>
      </c>
      <c r="B2" s="52">
        <f>'Internal Calculation'!B45</f>
        <v>43837.2</v>
      </c>
      <c r="C2" s="52">
        <f>'Internal Calculation'!C45</f>
        <v>91065.126000000004</v>
      </c>
      <c r="D2" s="52">
        <f>'Internal Calculation'!D45</f>
        <v>47295.740519999999</v>
      </c>
      <c r="E2" s="52">
        <f>'Internal Calculation'!E45</f>
        <v>0</v>
      </c>
      <c r="F2" s="52">
        <f>'Internal Calculation'!F45</f>
        <v>0</v>
      </c>
      <c r="G2" s="52">
        <f>'Internal Calculation'!G45</f>
        <v>0</v>
      </c>
      <c r="H2" s="52">
        <f>SUM(B2:G2)</f>
        <v>182198.06651999999</v>
      </c>
    </row>
    <row r="3" spans="1:10" x14ac:dyDescent="0.3">
      <c r="A3" s="64" t="s">
        <v>23</v>
      </c>
      <c r="B3" s="39">
        <f>'Internal Calculation'!B29+'Internal Calculation'!K29</f>
        <v>42384.074999999997</v>
      </c>
      <c r="C3" s="39">
        <f>'Internal Calculation'!C29+'Internal Calculation'!L29</f>
        <v>88158.876000000004</v>
      </c>
      <c r="D3" s="39">
        <f>'Internal Calculation'!D29+'Internal Calculation'!M29</f>
        <v>45842.615519999999</v>
      </c>
      <c r="E3" s="39">
        <f>'Internal Calculation'!E29+'Internal Calculation'!N29</f>
        <v>0</v>
      </c>
      <c r="F3" s="39">
        <f>'Internal Calculation'!F29+'Internal Calculation'!O29</f>
        <v>0</v>
      </c>
      <c r="G3" s="39">
        <f>'Internal Calculation'!G29+'Internal Calculation'!P29</f>
        <v>0</v>
      </c>
      <c r="H3" s="61">
        <f t="shared" ref="H3:H7" si="0">SUM(B3:G3)</f>
        <v>176385.56651999999</v>
      </c>
    </row>
    <row r="4" spans="1:10" ht="15" thickBot="1" x14ac:dyDescent="0.35">
      <c r="A4" s="63" t="s">
        <v>24</v>
      </c>
      <c r="B4" s="52">
        <f>B3/160*60</f>
        <v>15894.028124999997</v>
      </c>
      <c r="C4" s="52">
        <f t="shared" ref="C4:G4" si="1">C3/160*60</f>
        <v>33059.578500000003</v>
      </c>
      <c r="D4" s="52">
        <f t="shared" si="1"/>
        <v>17190.980820000001</v>
      </c>
      <c r="E4" s="52">
        <f t="shared" si="1"/>
        <v>0</v>
      </c>
      <c r="F4" s="52">
        <f t="shared" si="1"/>
        <v>0</v>
      </c>
      <c r="G4" s="52">
        <f t="shared" si="1"/>
        <v>0</v>
      </c>
      <c r="H4" s="47">
        <f t="shared" si="0"/>
        <v>66144.587444999997</v>
      </c>
    </row>
    <row r="5" spans="1:10" x14ac:dyDescent="0.3">
      <c r="A5" s="64" t="s">
        <v>25</v>
      </c>
      <c r="B5" s="39">
        <f>'Internal Calculation'!B39+'Internal Calculation'!K39</f>
        <v>1162.5</v>
      </c>
      <c r="C5" s="39">
        <f>'Internal Calculation'!C39+'Internal Calculation'!L39</f>
        <v>2325</v>
      </c>
      <c r="D5" s="39">
        <f>'Internal Calculation'!D39+'Internal Calculation'!M39</f>
        <v>1162.5</v>
      </c>
      <c r="E5" s="39">
        <f>'Internal Calculation'!E39+'Internal Calculation'!N39</f>
        <v>0</v>
      </c>
      <c r="F5" s="39">
        <f>'Internal Calculation'!F39+'Internal Calculation'!O39</f>
        <v>0</v>
      </c>
      <c r="G5" s="39">
        <f>'Internal Calculation'!G39+'Internal Calculation'!P39</f>
        <v>0</v>
      </c>
      <c r="H5" s="61">
        <f t="shared" si="0"/>
        <v>4650</v>
      </c>
    </row>
    <row r="6" spans="1:10" ht="15" thickBot="1" x14ac:dyDescent="0.35">
      <c r="A6" s="63" t="s">
        <v>26</v>
      </c>
      <c r="B6" s="52">
        <f>'Internal Calculation'!B40+'Internal Calculation'!K40</f>
        <v>290.625</v>
      </c>
      <c r="C6" s="52">
        <f>'Internal Calculation'!C40+'Internal Calculation'!L40</f>
        <v>581.25</v>
      </c>
      <c r="D6" s="52">
        <f>'Internal Calculation'!D40+'Internal Calculation'!M40</f>
        <v>290.625</v>
      </c>
      <c r="E6" s="52">
        <f>'Internal Calculation'!E40+'Internal Calculation'!N40</f>
        <v>0</v>
      </c>
      <c r="F6" s="52">
        <f>'Internal Calculation'!F40+'Internal Calculation'!O40</f>
        <v>0</v>
      </c>
      <c r="G6" s="52">
        <f>'Internal Calculation'!G40+'Internal Calculation'!P40</f>
        <v>0</v>
      </c>
      <c r="H6" s="47">
        <f t="shared" si="0"/>
        <v>1162.5</v>
      </c>
    </row>
    <row r="7" spans="1:10" x14ac:dyDescent="0.3">
      <c r="A7" s="59" t="s">
        <v>27</v>
      </c>
      <c r="B7" s="60">
        <f>B6+B4</f>
        <v>16184.653124999997</v>
      </c>
      <c r="C7" s="60">
        <f t="shared" ref="C7:G7" si="2">C6+C4</f>
        <v>33640.828500000003</v>
      </c>
      <c r="D7" s="60">
        <f>D6+D4</f>
        <v>17481.605820000001</v>
      </c>
      <c r="E7" s="60">
        <f t="shared" si="2"/>
        <v>0</v>
      </c>
      <c r="F7" s="60">
        <f t="shared" si="2"/>
        <v>0</v>
      </c>
      <c r="G7" s="60">
        <f t="shared" si="2"/>
        <v>0</v>
      </c>
      <c r="H7" s="60">
        <f t="shared" si="0"/>
        <v>67307.087444999997</v>
      </c>
    </row>
    <row r="8" spans="1:10" x14ac:dyDescent="0.3">
      <c r="A8" s="59" t="s">
        <v>33</v>
      </c>
      <c r="B8" s="60">
        <f>B7/2</f>
        <v>8092.3265624999985</v>
      </c>
      <c r="C8" s="60">
        <f t="shared" ref="C8:G8" si="3">C7/2</f>
        <v>16820.414250000002</v>
      </c>
      <c r="D8" s="60">
        <f t="shared" si="3"/>
        <v>8740.8029100000003</v>
      </c>
      <c r="E8" s="60">
        <f t="shared" si="3"/>
        <v>0</v>
      </c>
      <c r="F8" s="60">
        <f t="shared" si="3"/>
        <v>0</v>
      </c>
      <c r="G8" s="60">
        <f t="shared" si="3"/>
        <v>0</v>
      </c>
      <c r="H8" s="60">
        <f t="shared" ref="H8:H9" si="4">SUM(B8:G8)</f>
        <v>33653.543722499999</v>
      </c>
    </row>
    <row r="9" spans="1:10" ht="15" thickBot="1" x14ac:dyDescent="0.35">
      <c r="A9" s="62" t="s">
        <v>34</v>
      </c>
      <c r="B9" s="31">
        <f>B7/2</f>
        <v>8092.3265624999985</v>
      </c>
      <c r="C9" s="31">
        <f t="shared" ref="C9:G9" si="5">C7/2</f>
        <v>16820.414250000002</v>
      </c>
      <c r="D9" s="31">
        <f t="shared" si="5"/>
        <v>8740.8029100000003</v>
      </c>
      <c r="E9" s="31">
        <f t="shared" si="5"/>
        <v>0</v>
      </c>
      <c r="F9" s="31">
        <f t="shared" si="5"/>
        <v>0</v>
      </c>
      <c r="G9" s="31">
        <f t="shared" si="5"/>
        <v>0</v>
      </c>
      <c r="H9" s="31">
        <f t="shared" si="4"/>
        <v>33653.543722499999</v>
      </c>
    </row>
    <row r="10" spans="1:10" x14ac:dyDescent="0.3">
      <c r="A10" s="97" t="s">
        <v>31</v>
      </c>
      <c r="B10" s="98">
        <f>'Internal Calculation'!K29/160*100</f>
        <v>4655.2031250000009</v>
      </c>
      <c r="C10" s="98">
        <f>'Internal Calculation'!L29/160*100</f>
        <v>9682.8225000000002</v>
      </c>
      <c r="D10" s="98">
        <f>'Internal Calculation'!M29/160*100</f>
        <v>5035.0677000000005</v>
      </c>
      <c r="E10" s="98">
        <f>'Internal Calculation'!N29/160*100</f>
        <v>0</v>
      </c>
      <c r="F10" s="98">
        <f>'Internal Calculation'!O29/160*100</f>
        <v>0</v>
      </c>
      <c r="G10" s="98">
        <f>'Internal Calculation'!P29/160*100</f>
        <v>0</v>
      </c>
      <c r="H10" s="98">
        <f>SUM(B10:G10)</f>
        <v>19373.093325000002</v>
      </c>
    </row>
    <row r="11" spans="1:10" ht="15" thickBot="1" x14ac:dyDescent="0.35">
      <c r="A11" s="99" t="s">
        <v>32</v>
      </c>
      <c r="B11" s="100">
        <f>'Internal Calculation'!K39</f>
        <v>450</v>
      </c>
      <c r="C11" s="100">
        <f>'Internal Calculation'!L39</f>
        <v>900</v>
      </c>
      <c r="D11" s="100">
        <f>'Internal Calculation'!M39</f>
        <v>450</v>
      </c>
      <c r="E11" s="100">
        <f>'Internal Calculation'!N39</f>
        <v>0</v>
      </c>
      <c r="F11" s="100">
        <f>'Internal Calculation'!O39</f>
        <v>0</v>
      </c>
      <c r="G11" s="100">
        <f>'Internal Calculation'!P39</f>
        <v>0</v>
      </c>
      <c r="H11" s="100">
        <f>SUM(B11:G11)</f>
        <v>1800</v>
      </c>
    </row>
    <row r="12" spans="1:10" ht="15" thickBot="1" x14ac:dyDescent="0.35">
      <c r="A12" s="105" t="s">
        <v>72</v>
      </c>
      <c r="B12" s="106">
        <f>B10+B11</f>
        <v>5105.2031250000009</v>
      </c>
      <c r="C12" s="106">
        <f t="shared" ref="C12:H12" si="6">C10+C11</f>
        <v>10582.8225</v>
      </c>
      <c r="D12" s="106">
        <f t="shared" si="6"/>
        <v>5485.0677000000005</v>
      </c>
      <c r="E12" s="106">
        <f t="shared" si="6"/>
        <v>0</v>
      </c>
      <c r="F12" s="106">
        <f t="shared" si="6"/>
        <v>0</v>
      </c>
      <c r="G12" s="106">
        <f t="shared" si="6"/>
        <v>0</v>
      </c>
      <c r="H12" s="106">
        <f t="shared" si="6"/>
        <v>21173.093325000002</v>
      </c>
    </row>
    <row r="13" spans="1:10" ht="15" thickBot="1" x14ac:dyDescent="0.35">
      <c r="A13" s="54" t="s">
        <v>28</v>
      </c>
      <c r="B13" s="57"/>
      <c r="C13" s="56"/>
      <c r="D13" s="56"/>
      <c r="E13" s="56"/>
      <c r="F13" s="56"/>
      <c r="G13" s="56"/>
      <c r="H13" s="101">
        <f>H7/(H2-H7)</f>
        <v>0.58583439698135409</v>
      </c>
      <c r="I13" s="107">
        <f>H13*100</f>
        <v>58.583439698135408</v>
      </c>
      <c r="J13" s="109">
        <f>H2/(100+I13)*I13</f>
        <v>67307.087444999997</v>
      </c>
    </row>
    <row r="14" spans="1:10" ht="15" thickBot="1" x14ac:dyDescent="0.35">
      <c r="A14" s="115" t="s">
        <v>30</v>
      </c>
      <c r="B14" s="112">
        <f>B2-B7-B10-B11</f>
        <v>22547.34375</v>
      </c>
      <c r="C14" s="112">
        <f t="shared" ref="C14:D14" si="7">C2-C7-C10-C11</f>
        <v>46841.474999999999</v>
      </c>
      <c r="D14" s="112">
        <f t="shared" si="7"/>
        <v>24329.066999999999</v>
      </c>
      <c r="E14" s="112">
        <f t="shared" ref="E14:G14" si="8">E2-(E2*$H$13)-E10-E11</f>
        <v>0</v>
      </c>
      <c r="F14" s="112">
        <f t="shared" si="8"/>
        <v>0</v>
      </c>
      <c r="G14" s="112">
        <f t="shared" si="8"/>
        <v>0</v>
      </c>
      <c r="H14" s="112">
        <f>H2-H7-H10-H11</f>
        <v>93717.885749999987</v>
      </c>
      <c r="J14" s="108"/>
    </row>
    <row r="18" spans="1:8" x14ac:dyDescent="0.3">
      <c r="A18" s="102"/>
      <c r="B18" s="103"/>
      <c r="C18" s="103"/>
      <c r="D18" s="103"/>
      <c r="E18" s="103"/>
      <c r="F18" s="103"/>
      <c r="G18" s="103"/>
      <c r="H18" s="103"/>
    </row>
    <row r="19" spans="1:8" x14ac:dyDescent="0.3">
      <c r="A19" s="102"/>
      <c r="B19" s="103"/>
      <c r="C19" s="103"/>
      <c r="D19" s="103"/>
      <c r="E19" s="103"/>
      <c r="F19" s="103"/>
      <c r="G19" s="103"/>
      <c r="H19" s="103"/>
    </row>
    <row r="20" spans="1:8" x14ac:dyDescent="0.3">
      <c r="A20" s="102"/>
      <c r="B20" s="104"/>
    </row>
  </sheetData>
  <conditionalFormatting sqref="I13">
    <cfRule type="cellIs" dxfId="1" priority="2" operator="equal">
      <formula>$H$7</formula>
    </cfRule>
  </conditionalFormatting>
  <conditionalFormatting sqref="J13">
    <cfRule type="cellIs" dxfId="0" priority="1" operator="equal">
      <formula>$H$7</formula>
    </cfRule>
  </conditionalFormatting>
  <pageMargins left="0.7" right="0.7" top="0.78740157499999996" bottom="0.78740157499999996" header="0.3" footer="0.3"/>
  <pageSetup paperSize="9"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Internal Calculation</vt:lpstr>
      <vt:lpstr>Budget Spread</vt:lpstr>
    </vt:vector>
  </TitlesOfParts>
  <Company>Universitaet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zinnerl4</dc:creator>
  <cp:lastModifiedBy>Vera Stelzer</cp:lastModifiedBy>
  <cp:lastPrinted>2014-10-06T12:09:41Z</cp:lastPrinted>
  <dcterms:created xsi:type="dcterms:W3CDTF">2012-01-27T10:55:50Z</dcterms:created>
  <dcterms:modified xsi:type="dcterms:W3CDTF">2022-05-11T07:20:51Z</dcterms:modified>
</cp:coreProperties>
</file>