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0" windowWidth="10248" windowHeight="7596"/>
  </bookViews>
  <sheets>
    <sheet name="Uni Wien interne Kalkulation" sheetId="1" r:id="rId1"/>
    <sheet name="Uni Wien OvH Verteilung" sheetId="6" r:id="rId2"/>
    <sheet name="nebenrechnungen" sheetId="2" state="hidden" r:id="rId3"/>
    <sheet name="nr2" sheetId="4" state="hidden" r:id="rId4"/>
  </sheets>
  <calcPr calcId="191029"/>
</workbook>
</file>

<file path=xl/calcChain.xml><?xml version="1.0" encoding="utf-8"?>
<calcChain xmlns="http://schemas.openxmlformats.org/spreadsheetml/2006/main">
  <c r="G30" i="1" l="1"/>
  <c r="H30" i="1"/>
  <c r="I15" i="1" l="1"/>
  <c r="I35" i="1"/>
  <c r="I32" i="1"/>
  <c r="I31" i="1"/>
  <c r="I33" i="1"/>
  <c r="I29" i="1"/>
  <c r="H36" i="1"/>
  <c r="C53" i="1" l="1"/>
  <c r="L35" i="1" l="1"/>
  <c r="D48" i="1"/>
  <c r="A41" i="1"/>
  <c r="C7" i="1"/>
  <c r="C3" i="1"/>
  <c r="C4" i="1"/>
  <c r="C5" i="1"/>
  <c r="C6" i="1"/>
  <c r="C8" i="1"/>
  <c r="C9" i="1"/>
  <c r="C10" i="1"/>
  <c r="D49" i="1"/>
  <c r="D50" i="1"/>
  <c r="D51" i="1"/>
  <c r="D52" i="1"/>
  <c r="Q9" i="1"/>
  <c r="G9" i="1"/>
  <c r="F4" i="1"/>
  <c r="F5" i="1"/>
  <c r="F6" i="1"/>
  <c r="F7" i="1"/>
  <c r="F8" i="1"/>
  <c r="F9" i="1"/>
  <c r="E9" i="1"/>
  <c r="Q3" i="1"/>
  <c r="E3" i="1"/>
  <c r="E4" i="1"/>
  <c r="Q10" i="1"/>
  <c r="A5" i="4"/>
  <c r="E7" i="4" s="1"/>
  <c r="A4" i="4"/>
  <c r="C8" i="4" s="1"/>
  <c r="A6" i="4"/>
  <c r="B10" i="4"/>
  <c r="B11" i="4"/>
  <c r="C10" i="4"/>
  <c r="C11" i="4"/>
  <c r="O4" i="6"/>
  <c r="O5" i="6"/>
  <c r="Q8" i="1"/>
  <c r="Q5" i="1"/>
  <c r="Q7" i="1"/>
  <c r="A10" i="4"/>
  <c r="A5" i="2"/>
  <c r="E2" i="2" s="1"/>
  <c r="E7" i="2" s="1"/>
  <c r="A4" i="2"/>
  <c r="C7" i="2" s="1"/>
  <c r="A6" i="2"/>
  <c r="B10" i="2"/>
  <c r="B9" i="2"/>
  <c r="C10" i="2"/>
  <c r="C9" i="2"/>
  <c r="Q4" i="1"/>
  <c r="Q6" i="1"/>
  <c r="L29" i="1"/>
  <c r="L31" i="1"/>
  <c r="L32" i="1"/>
  <c r="L33" i="1"/>
  <c r="F10" i="1"/>
  <c r="F3" i="1"/>
  <c r="G4" i="1"/>
  <c r="G10" i="1"/>
  <c r="G8" i="1"/>
  <c r="G7" i="1"/>
  <c r="G6" i="1"/>
  <c r="G5" i="1"/>
  <c r="G3" i="1"/>
  <c r="E10" i="1"/>
  <c r="B53" i="1"/>
  <c r="A25" i="1"/>
  <c r="K25" i="1" s="1"/>
  <c r="A23" i="1"/>
  <c r="K23" i="1" s="1"/>
  <c r="A9" i="2"/>
  <c r="A20" i="1"/>
  <c r="K20" i="1" s="1"/>
  <c r="A21" i="1"/>
  <c r="K21" i="1" s="1"/>
  <c r="A22" i="1"/>
  <c r="K22" i="1" s="1"/>
  <c r="E5" i="1"/>
  <c r="E6" i="1"/>
  <c r="E7" i="1"/>
  <c r="E8" i="1"/>
  <c r="A19" i="1"/>
  <c r="K19" i="1" s="1"/>
  <c r="B19" i="1" l="1"/>
  <c r="H19" i="1"/>
  <c r="R19" i="1" s="1"/>
  <c r="H21" i="1"/>
  <c r="R21" i="1" s="1"/>
  <c r="B21" i="1"/>
  <c r="H20" i="1"/>
  <c r="R20" i="1" s="1"/>
  <c r="B20" i="1"/>
  <c r="H18" i="1"/>
  <c r="R18" i="1" s="1"/>
  <c r="B18" i="1"/>
  <c r="H22" i="1"/>
  <c r="R22" i="1" s="1"/>
  <c r="B22" i="1"/>
  <c r="H25" i="1"/>
  <c r="R25" i="1" s="1"/>
  <c r="B25" i="1"/>
  <c r="B24" i="1"/>
  <c r="L24" i="1" s="1"/>
  <c r="H24" i="1"/>
  <c r="R24" i="1" s="1"/>
  <c r="B23" i="1"/>
  <c r="H23" i="1"/>
  <c r="R23" i="1" s="1"/>
  <c r="C11" i="2"/>
  <c r="E5" i="2"/>
  <c r="E24" i="1"/>
  <c r="O24" i="1" s="1"/>
  <c r="G24" i="1"/>
  <c r="Q24" i="1" s="1"/>
  <c r="C24" i="1"/>
  <c r="M24" i="1" s="1"/>
  <c r="D24" i="1"/>
  <c r="N24" i="1" s="1"/>
  <c r="F24" i="1"/>
  <c r="P24" i="1" s="1"/>
  <c r="G23" i="1"/>
  <c r="Q23" i="1" s="1"/>
  <c r="C23" i="1"/>
  <c r="M23" i="1" s="1"/>
  <c r="D23" i="1"/>
  <c r="N23" i="1" s="1"/>
  <c r="E23" i="1"/>
  <c r="O23" i="1" s="1"/>
  <c r="F23" i="1"/>
  <c r="P23" i="1" s="1"/>
  <c r="C21" i="1"/>
  <c r="M21" i="1" s="1"/>
  <c r="D21" i="1"/>
  <c r="N21" i="1" s="1"/>
  <c r="E21" i="1"/>
  <c r="O21" i="1" s="1"/>
  <c r="G21" i="1"/>
  <c r="Q21" i="1" s="1"/>
  <c r="F21" i="1"/>
  <c r="P21" i="1" s="1"/>
  <c r="C18" i="1"/>
  <c r="M18" i="1" s="1"/>
  <c r="E18" i="1"/>
  <c r="O18" i="1" s="1"/>
  <c r="F18" i="1"/>
  <c r="G18" i="1"/>
  <c r="D18" i="1"/>
  <c r="G22" i="1"/>
  <c r="Q22" i="1" s="1"/>
  <c r="F22" i="1"/>
  <c r="P22" i="1" s="1"/>
  <c r="E22" i="1"/>
  <c r="O22" i="1" s="1"/>
  <c r="D22" i="1"/>
  <c r="N22" i="1" s="1"/>
  <c r="C22" i="1"/>
  <c r="M22" i="1" s="1"/>
  <c r="E20" i="1"/>
  <c r="O20" i="1" s="1"/>
  <c r="G20" i="1"/>
  <c r="Q20" i="1" s="1"/>
  <c r="C20" i="1"/>
  <c r="M20" i="1" s="1"/>
  <c r="D20" i="1"/>
  <c r="N20" i="1" s="1"/>
  <c r="F20" i="1"/>
  <c r="P20" i="1" s="1"/>
  <c r="C25" i="1"/>
  <c r="M25" i="1" s="1"/>
  <c r="D25" i="1"/>
  <c r="N25" i="1" s="1"/>
  <c r="F25" i="1"/>
  <c r="P25" i="1" s="1"/>
  <c r="G25" i="1"/>
  <c r="Q25" i="1" s="1"/>
  <c r="E25" i="1"/>
  <c r="O25" i="1" s="1"/>
  <c r="G19" i="1"/>
  <c r="Q19" i="1" s="1"/>
  <c r="C19" i="1"/>
  <c r="M19" i="1" s="1"/>
  <c r="F19" i="1"/>
  <c r="P19" i="1" s="1"/>
  <c r="D19" i="1"/>
  <c r="N19" i="1" s="1"/>
  <c r="E19" i="1"/>
  <c r="O19" i="1" s="1"/>
  <c r="C12" i="4"/>
  <c r="B12" i="4"/>
  <c r="R7" i="1"/>
  <c r="R5" i="1"/>
  <c r="E51" i="1"/>
  <c r="F51" i="1" s="1"/>
  <c r="G51" i="1" s="1"/>
  <c r="R8" i="1"/>
  <c r="E48" i="1"/>
  <c r="F48" i="1" s="1"/>
  <c r="G48" i="1" s="1"/>
  <c r="R9" i="1"/>
  <c r="R4" i="1"/>
  <c r="E50" i="1"/>
  <c r="F50" i="1" s="1"/>
  <c r="G50" i="1" s="1"/>
  <c r="E49" i="1"/>
  <c r="F49" i="1" s="1"/>
  <c r="G49" i="1" s="1"/>
  <c r="R6" i="1"/>
  <c r="E52" i="1"/>
  <c r="F52" i="1" s="1"/>
  <c r="G52" i="1" s="1"/>
  <c r="R10" i="1"/>
  <c r="E6" i="2"/>
  <c r="E4" i="2"/>
  <c r="E3" i="2"/>
  <c r="L20" i="1"/>
  <c r="B11" i="2"/>
  <c r="Q11" i="1"/>
  <c r="R3" i="1"/>
  <c r="D53" i="1"/>
  <c r="E3" i="4"/>
  <c r="E4" i="4"/>
  <c r="E6" i="4"/>
  <c r="E2" i="4"/>
  <c r="E8" i="4" s="1"/>
  <c r="E5" i="4"/>
  <c r="S20" i="1" l="1"/>
  <c r="R26" i="1"/>
  <c r="S24" i="1"/>
  <c r="I18" i="1"/>
  <c r="L18" i="1"/>
  <c r="D11" i="2"/>
  <c r="B4" i="2" s="1"/>
  <c r="I23" i="1"/>
  <c r="H26" i="1"/>
  <c r="H38" i="1" s="1"/>
  <c r="I20" i="1"/>
  <c r="I21" i="1"/>
  <c r="I24" i="1"/>
  <c r="L23" i="1"/>
  <c r="S23" i="1" s="1"/>
  <c r="I22" i="1"/>
  <c r="I25" i="1"/>
  <c r="I19" i="1"/>
  <c r="D12" i="4"/>
  <c r="B4" i="4" s="1"/>
  <c r="L25" i="1"/>
  <c r="S25" i="1" s="1"/>
  <c r="L22" i="1"/>
  <c r="S22" i="1" s="1"/>
  <c r="P18" i="1"/>
  <c r="P26" i="1" s="1"/>
  <c r="F26" i="1"/>
  <c r="Q18" i="1"/>
  <c r="Q26" i="1" s="1"/>
  <c r="G26" i="1"/>
  <c r="G53" i="1"/>
  <c r="E26" i="1"/>
  <c r="C26" i="1"/>
  <c r="N18" i="1"/>
  <c r="N26" i="1" s="1"/>
  <c r="D26" i="1"/>
  <c r="O26" i="1"/>
  <c r="R11" i="1"/>
  <c r="M43" i="1" s="1"/>
  <c r="B26" i="1"/>
  <c r="F53" i="1"/>
  <c r="D30" i="1" s="1"/>
  <c r="L19" i="1"/>
  <c r="S19" i="1" s="1"/>
  <c r="L21" i="1"/>
  <c r="S21" i="1" s="1"/>
  <c r="I26" i="1" l="1"/>
  <c r="B30" i="1"/>
  <c r="B38" i="1" s="1"/>
  <c r="B40" i="1" s="1"/>
  <c r="D38" i="1"/>
  <c r="S18" i="1"/>
  <c r="S26" i="1" s="1"/>
  <c r="H40" i="1"/>
  <c r="H42" i="1" s="1"/>
  <c r="M26" i="1"/>
  <c r="G38" i="1"/>
  <c r="G40" i="1" s="1"/>
  <c r="F30" i="1"/>
  <c r="F36" i="1" s="1"/>
  <c r="E30" i="1"/>
  <c r="E38" i="1" s="1"/>
  <c r="C30" i="1"/>
  <c r="C36" i="1" s="1"/>
  <c r="L30" i="1"/>
  <c r="K43" i="1"/>
  <c r="L26" i="1"/>
  <c r="I30" i="1" l="1"/>
  <c r="U34" i="1" s="1"/>
  <c r="C38" i="1"/>
  <c r="C40" i="1" s="1"/>
  <c r="E40" i="1"/>
  <c r="E42" i="1" s="1"/>
  <c r="D40" i="1"/>
  <c r="D42" i="1" s="1"/>
  <c r="E36" i="1"/>
  <c r="G36" i="1"/>
  <c r="F38" i="1"/>
  <c r="D36" i="1"/>
  <c r="B36" i="1"/>
  <c r="G42" i="1"/>
  <c r="U33" i="1" l="1"/>
  <c r="V34" i="1" s="1"/>
  <c r="I34" i="1" s="1"/>
  <c r="F40" i="1"/>
  <c r="F42" i="1" s="1"/>
  <c r="C42" i="1"/>
  <c r="I40" i="1" l="1"/>
  <c r="B42" i="1"/>
  <c r="B4" i="6" l="1"/>
  <c r="I36" i="1"/>
  <c r="I38" i="1" s="1"/>
  <c r="L34" i="1"/>
  <c r="L36" i="1" s="1"/>
  <c r="I42" i="1" l="1"/>
  <c r="C8" i="6"/>
  <c r="B8" i="6"/>
</calcChain>
</file>

<file path=xl/comments1.xml><?xml version="1.0" encoding="utf-8"?>
<comments xmlns="http://schemas.openxmlformats.org/spreadsheetml/2006/main">
  <authors>
    <author>Helmut Schaschl</author>
    <author>Borna Doracic</author>
    <author>Windows User</author>
  </authors>
  <commentList>
    <comment ref="D2" authorId="0">
      <text>
        <r>
          <rPr>
            <b/>
            <sz val="9"/>
            <color indexed="81"/>
            <rFont val="Segoe UI"/>
            <family val="2"/>
          </rPr>
          <t>Helmut Schaschl</t>
        </r>
        <r>
          <rPr>
            <sz val="9"/>
            <color indexed="81"/>
            <rFont val="Segoe UI"/>
            <family val="2"/>
          </rPr>
          <t>: Geben Sie hier den</t>
        </r>
        <r>
          <rPr>
            <b/>
            <sz val="9"/>
            <color indexed="81"/>
            <rFont val="Segoe UI"/>
            <family val="2"/>
          </rPr>
          <t xml:space="preserve"> % Ausmaß </t>
        </r>
        <r>
          <rPr>
            <sz val="9"/>
            <color indexed="81"/>
            <rFont val="Segoe UI"/>
            <family val="2"/>
          </rPr>
          <t>(1 Person 100% = 40h = 1.0fte) pro Mitarbeiter im Projekt an. Bitte beachten Sie; die person months (PMs) sollen mit den angegebenen PMs per Work Package (WP) im Projekt übereinstimmen! Es können auch Mischsätze kalkuliert werden z.B. 1 PhD mit &lt; 3 Jahre Berufserfahrung soll für 48 Monate im Projekt arbeiten: kalkulieren Sie 75% Anstellung nach KV mit PhD &lt; 3 Jahre und 25% nach KV für PhD &gt; 3 Jahre = daraus ergeben sich Total 100% Anstellung und 48 PMs mit gleichzeitiger Einberechnung der höheren (KV) Lohnkosten für den PhD für das Projektjahr 4</t>
        </r>
        <r>
          <rPr>
            <b/>
            <sz val="9"/>
            <color indexed="81"/>
            <rFont val="Segoe UI"/>
            <family val="2"/>
          </rPr>
          <t xml:space="preserve">.        </t>
        </r>
      </text>
    </comment>
    <comment ref="B3" authorId="1">
      <text>
        <r>
          <rPr>
            <b/>
            <sz val="9"/>
            <color indexed="81"/>
            <rFont val="Tahoma"/>
            <charset val="1"/>
          </rPr>
          <t>Borna Doracic:</t>
        </r>
        <r>
          <rPr>
            <sz val="9"/>
            <color indexed="81"/>
            <rFont val="Tahoma"/>
            <charset val="1"/>
          </rPr>
          <t xml:space="preserve">
Please calculate the own Brutto Brutto salary for the Professors, this is just an estimation</t>
        </r>
      </text>
    </comment>
    <comment ref="A13" authorId="1">
      <text>
        <r>
          <rPr>
            <b/>
            <sz val="9"/>
            <color indexed="81"/>
            <rFont val="Tahoma"/>
            <charset val="1"/>
          </rPr>
          <t>Borna Doracic:</t>
        </r>
        <r>
          <rPr>
            <sz val="9"/>
            <color indexed="81"/>
            <rFont val="Tahoma"/>
            <charset val="1"/>
          </rPr>
          <t xml:space="preserve">
When adding additional years, please continue the numbering in row 13 </t>
        </r>
      </text>
    </comment>
    <comment ref="A15" authorId="2">
      <text>
        <r>
          <rPr>
            <b/>
            <sz val="9"/>
            <color indexed="81"/>
            <rFont val="Tahoma"/>
            <family val="2"/>
          </rPr>
          <t>Projektlaufzeit in Monaten eingeben.</t>
        </r>
        <r>
          <rPr>
            <sz val="9"/>
            <color indexed="81"/>
            <rFont val="Tahoma"/>
            <family val="2"/>
          </rPr>
          <t xml:space="preserve">
</t>
        </r>
      </text>
    </comment>
    <comment ref="B15" authorId="0">
      <text>
        <r>
          <rPr>
            <b/>
            <sz val="10"/>
            <color indexed="81"/>
            <rFont val="Segoe UI"/>
            <family val="2"/>
          </rPr>
          <t>Helmut Schasch:</t>
        </r>
        <r>
          <rPr>
            <sz val="10"/>
            <color indexed="81"/>
            <rFont val="Segoe UI"/>
            <family val="2"/>
          </rPr>
          <t xml:space="preserve"> </t>
        </r>
        <r>
          <rPr>
            <b/>
            <sz val="10"/>
            <color indexed="81"/>
            <rFont val="Segoe UI"/>
            <family val="2"/>
          </rPr>
          <t>Anzahl der Projektmonate/Jahr hier eintragen!!!</t>
        </r>
      </text>
    </comment>
    <comment ref="A30" authorId="0">
      <text>
        <r>
          <rPr>
            <b/>
            <sz val="9"/>
            <color indexed="81"/>
            <rFont val="Segoe UI"/>
            <family val="2"/>
          </rPr>
          <t>Helmut Schaschl:</t>
        </r>
        <r>
          <rPr>
            <sz val="9"/>
            <color indexed="81"/>
            <rFont val="Segoe UI"/>
            <family val="2"/>
          </rPr>
          <t xml:space="preserve">
Abschreibungskosten - bitte</t>
        </r>
        <r>
          <rPr>
            <b/>
            <sz val="9"/>
            <color indexed="81"/>
            <rFont val="Segoe UI"/>
            <family val="2"/>
          </rPr>
          <t xml:space="preserve"> unten</t>
        </r>
        <r>
          <rPr>
            <sz val="9"/>
            <color indexed="81"/>
            <rFont val="Segoe UI"/>
            <family val="2"/>
          </rPr>
          <t xml:space="preserve"> berechnen. </t>
        </r>
        <r>
          <rPr>
            <b/>
            <sz val="9"/>
            <color indexed="81"/>
            <rFont val="Segoe UI"/>
            <family val="2"/>
          </rPr>
          <t>Die EU fördert nur die Abschreibungskosten.</t>
        </r>
      </text>
    </comment>
    <comment ref="K30" authorId="0">
      <text>
        <r>
          <rPr>
            <b/>
            <sz val="9"/>
            <color indexed="81"/>
            <rFont val="Segoe UI"/>
            <family val="2"/>
          </rPr>
          <t>Helmut Schaschl:</t>
        </r>
        <r>
          <rPr>
            <sz val="9"/>
            <color indexed="81"/>
            <rFont val="Segoe UI"/>
            <family val="2"/>
          </rPr>
          <t xml:space="preserve"> Abschreibungskosten bitte unten berechnen. </t>
        </r>
      </text>
    </comment>
    <comment ref="M42" authorId="0">
      <text>
        <r>
          <rPr>
            <sz val="9"/>
            <color indexed="81"/>
            <rFont val="Segoe UI"/>
            <family val="2"/>
          </rPr>
          <t>Helmut Schaschl: berechnet die person months (PMs) für das EU Projekt basierend auf den gewählten Personalkosten!  Bitte beachten Sie, dass die PMs mit den PMs im EU Projektantrag (PMs per work packages) übereinstimmen!</t>
        </r>
      </text>
    </comment>
    <comment ref="B47" authorId="0">
      <text>
        <r>
          <rPr>
            <b/>
            <sz val="9"/>
            <color indexed="81"/>
            <rFont val="Segoe UI"/>
            <family val="2"/>
          </rPr>
          <t>Helmut Schaschl:</t>
        </r>
        <r>
          <rPr>
            <sz val="9"/>
            <color indexed="81"/>
            <rFont val="Segoe UI"/>
            <family val="2"/>
          </rPr>
          <t xml:space="preserve">
Preis inkl. MWST. u. Lieferung</t>
        </r>
      </text>
    </comment>
    <comment ref="C47" authorId="0">
      <text>
        <r>
          <rPr>
            <b/>
            <sz val="9"/>
            <color indexed="81"/>
            <rFont val="Segoe UI"/>
            <family val="2"/>
          </rPr>
          <t>Helmut Schaschl:</t>
        </r>
        <r>
          <rPr>
            <sz val="9"/>
            <color indexed="81"/>
            <rFont val="Segoe UI"/>
            <family val="2"/>
          </rPr>
          <t xml:space="preserve">
Geben Sie hier die grundsätzliche Nutzunsdauer an - siehe Info unten. </t>
        </r>
      </text>
    </comment>
  </commentList>
</comments>
</file>

<file path=xl/sharedStrings.xml><?xml version="1.0" encoding="utf-8"?>
<sst xmlns="http://schemas.openxmlformats.org/spreadsheetml/2006/main" count="125" uniqueCount="108">
  <si>
    <t>in Stunde pro Woche</t>
  </si>
  <si>
    <t>Gesamt</t>
  </si>
  <si>
    <t>% Ausmaß im Projekt</t>
  </si>
  <si>
    <t>PostDoc &lt; 8 Jahre</t>
  </si>
  <si>
    <t>PostDoc &gt; 8 Jahre</t>
  </si>
  <si>
    <t>PhD Student &gt; 3 Jahre</t>
  </si>
  <si>
    <t>PhD Student &lt; 3 Jahre</t>
  </si>
  <si>
    <t>Reisekosten:</t>
  </si>
  <si>
    <t>Materialkosten:</t>
  </si>
  <si>
    <t>Andere Direkte Kosten</t>
  </si>
  <si>
    <t>Direkte Kosten PK</t>
  </si>
  <si>
    <t>Publikationskosten</t>
  </si>
  <si>
    <t>Reiskosten</t>
  </si>
  <si>
    <t>Gesamt PK inkl OvH</t>
  </si>
  <si>
    <t>Indirekte Kosten/OvH</t>
  </si>
  <si>
    <t>Gesamt inkl OvH</t>
  </si>
  <si>
    <t>Datumseingabe: Monate sollen autmatisch ausgefüll/aufgefüllt werden; wenn Projektstart 2015 und 16 Monate, dann 2014 leer, 2015 12 und 2016 4</t>
  </si>
  <si>
    <t>Monate</t>
  </si>
  <si>
    <t>Aufgerundet</t>
  </si>
  <si>
    <t>restliche Monate im Jahr</t>
  </si>
  <si>
    <t>monate insgesamt</t>
  </si>
  <si>
    <t>falls sich die Tage überlappen:</t>
  </si>
  <si>
    <t>Publikationskosten:</t>
  </si>
  <si>
    <t>PK inkl. OvH</t>
  </si>
  <si>
    <t>Andere Direk. Kosten inkl. OvH</t>
  </si>
  <si>
    <t>Kosten Gesamt</t>
  </si>
  <si>
    <t>Admin/TA/Laborant</t>
  </si>
  <si>
    <t>Student (max. 20h/week)</t>
  </si>
  <si>
    <t>Kosten Gerät #1:</t>
  </si>
  <si>
    <t>Kosten Gerät #2:</t>
  </si>
  <si>
    <t>Kosten Gerät #3:</t>
  </si>
  <si>
    <t>Kosten Gerät #4:</t>
  </si>
  <si>
    <t>Kosten Gerät #5:</t>
  </si>
  <si>
    <t>Preis</t>
  </si>
  <si>
    <t>Abschr./Jahr</t>
  </si>
  <si>
    <t>Abschr. Gesamt</t>
  </si>
  <si>
    <t>Saldo</t>
  </si>
  <si>
    <t>Laufzeit Proj.</t>
  </si>
  <si>
    <t>Projektlaufzeit in Monate</t>
  </si>
  <si>
    <t>Projektjahr</t>
  </si>
  <si>
    <t>Direkte Kosten Gesamt ohne OvH</t>
  </si>
  <si>
    <t>Projektkosten Gesamt mit OvH</t>
  </si>
  <si>
    <t xml:space="preserve">Ovh = Overheads / Indirekte Kosten </t>
  </si>
  <si>
    <t>PK = brutto-brutto (gross-gross salaries, incl. employer contribution)</t>
  </si>
  <si>
    <t>€/hour</t>
  </si>
  <si>
    <t>Andere Kosten</t>
  </si>
  <si>
    <t>Persons</t>
  </si>
  <si>
    <t>SUMME:</t>
  </si>
  <si>
    <t>Person Months (PMs)</t>
  </si>
  <si>
    <t>Total PM:</t>
  </si>
  <si>
    <t>Kategorie:</t>
  </si>
  <si>
    <t>other HORIZON</t>
  </si>
  <si>
    <t>Aufteilung</t>
  </si>
  <si>
    <t>Project</t>
  </si>
  <si>
    <t>Faculty</t>
  </si>
  <si>
    <t>Central</t>
  </si>
  <si>
    <t>Prozent</t>
  </si>
  <si>
    <t>ERC</t>
  </si>
  <si>
    <t>Risk fonds</t>
  </si>
  <si>
    <t>PI</t>
  </si>
  <si>
    <t>Summe €</t>
  </si>
  <si>
    <t>Overheadsplit-Kalkulator</t>
  </si>
  <si>
    <t>&lt;-- choose</t>
  </si>
  <si>
    <t>OvH Sum €:</t>
  </si>
  <si>
    <t>Laboreinrichtungen                                   10 Jahre</t>
  </si>
  <si>
    <t>Laborkleingeräte                                         5 Jahre</t>
  </si>
  <si>
    <t>EDV Anlagen                                                4 Jahre</t>
  </si>
  <si>
    <t>Technische Anlagen und Maschinen      10 Jahre</t>
  </si>
  <si>
    <t>*PK (brutto-brutto)</t>
  </si>
  <si>
    <r>
      <t>Gerätekosten</t>
    </r>
    <r>
      <rPr>
        <b/>
        <vertAlign val="superscript"/>
        <sz val="14"/>
        <color rgb="FFFF0000"/>
        <rFont val="Calibri"/>
        <family val="2"/>
        <scheme val="minor"/>
      </rPr>
      <t>1</t>
    </r>
    <r>
      <rPr>
        <b/>
        <sz val="11"/>
        <color rgb="FF7030A0"/>
        <rFont val="Calibri"/>
        <family val="2"/>
        <scheme val="minor"/>
      </rPr>
      <t>:</t>
    </r>
  </si>
  <si>
    <t>For Equipment costs calculate first the depreciation rates at the end of this Excel sheet.</t>
  </si>
  <si>
    <t>Sachanlage (equipment)                         Nutzungsdauer (lifetime)</t>
  </si>
  <si>
    <t>Nutzungsdauer</t>
  </si>
  <si>
    <t>Overheads (OvH):</t>
  </si>
  <si>
    <t>large technical facilities</t>
  </si>
  <si>
    <t>laboratory facilities</t>
  </si>
  <si>
    <t>small small equipment</t>
  </si>
  <si>
    <t xml:space="preserve">Computers </t>
  </si>
  <si>
    <t xml:space="preserve">http://forschung.univie.ac.at/home/ </t>
  </si>
  <si>
    <t>Average &amp; Weighted Person Months (PMs) Costs (ohne OvH):</t>
  </si>
  <si>
    <r>
      <rPr>
        <b/>
        <vertAlign val="superscript"/>
        <sz val="11"/>
        <color rgb="FFFF0000"/>
        <rFont val="Calibri"/>
        <family val="2"/>
        <scheme val="minor"/>
      </rPr>
      <t>1</t>
    </r>
    <r>
      <rPr>
        <b/>
        <sz val="11"/>
        <color theme="1"/>
        <rFont val="Calibri"/>
        <family val="2"/>
        <scheme val="minor"/>
      </rPr>
      <t>ProfessorIn average</t>
    </r>
  </si>
  <si>
    <r>
      <rPr>
        <b/>
        <vertAlign val="superscript"/>
        <sz val="14"/>
        <color rgb="FFFF0000"/>
        <rFont val="Calibri"/>
        <family val="2"/>
        <scheme val="minor"/>
      </rPr>
      <t>1</t>
    </r>
    <r>
      <rPr>
        <b/>
        <sz val="12"/>
        <color rgb="FF7030A0"/>
        <rFont val="Calibri"/>
        <family val="2"/>
        <scheme val="minor"/>
      </rPr>
      <t>Berechnung Abschreibungskosten Geräte (depreciation rate) ab €1.5K Gerätekosten (darunter unter Materialkosten bugtetieren)</t>
    </r>
  </si>
  <si>
    <t>Andere Kosten (Goods &amp; Services):</t>
  </si>
  <si>
    <t>https://forschung.univie.ac.at/services/projektmanagement/</t>
  </si>
  <si>
    <r>
      <rPr>
        <b/>
        <vertAlign val="superscript"/>
        <sz val="11"/>
        <color rgb="FFFF0000"/>
        <rFont val="Calibri"/>
        <family val="2"/>
        <scheme val="minor"/>
      </rPr>
      <t>2</t>
    </r>
    <r>
      <rPr>
        <b/>
        <sz val="11"/>
        <color theme="1"/>
        <rFont val="Calibri"/>
        <family val="2"/>
        <scheme val="minor"/>
      </rPr>
      <t>Project Managment</t>
    </r>
  </si>
  <si>
    <r>
      <rPr>
        <b/>
        <vertAlign val="superscript"/>
        <sz val="11"/>
        <color rgb="FFFF0000"/>
        <rFont val="Calibri"/>
        <family val="2"/>
        <scheme val="minor"/>
      </rPr>
      <t>1</t>
    </r>
    <r>
      <rPr>
        <b/>
        <sz val="11"/>
        <rFont val="Calibri"/>
        <family val="2"/>
        <scheme val="minor"/>
      </rPr>
      <t xml:space="preserve"> </t>
    </r>
    <r>
      <rPr>
        <b/>
        <sz val="11"/>
        <color rgb="FFFF0000"/>
        <rFont val="Calibri"/>
        <family val="2"/>
        <scheme val="minor"/>
      </rPr>
      <t xml:space="preserve">PI, if employed: </t>
    </r>
    <r>
      <rPr>
        <b/>
        <sz val="11"/>
        <rFont val="Calibri"/>
        <family val="2"/>
        <scheme val="minor"/>
      </rPr>
      <t xml:space="preserve">If charged to the project we recommend to calculate the actually PI gross-gross salary costs (gross salary x 1,28)  </t>
    </r>
  </si>
  <si>
    <t>Currently the effective hours/year = 1720h</t>
  </si>
  <si>
    <t>PostDoc &lt;&gt; 8 Jahr/Years and PhD &lt;&gt;3 Jahre/Years = Berufserfahrungen/work experience nach Kollektivvertrag (Details: Personalabteilung)</t>
  </si>
  <si>
    <t>PK Valorisierung/Projektjahr:</t>
  </si>
  <si>
    <r>
      <rPr>
        <b/>
        <vertAlign val="superscript"/>
        <sz val="10"/>
        <color rgb="FFFF0000"/>
        <rFont val="Arial"/>
        <family val="2"/>
      </rPr>
      <t>2</t>
    </r>
    <r>
      <rPr>
        <b/>
        <sz val="10"/>
        <color theme="1"/>
        <rFont val="Arial"/>
        <family val="2"/>
      </rPr>
      <t>Project Management</t>
    </r>
  </si>
  <si>
    <r>
      <rPr>
        <b/>
        <vertAlign val="superscript"/>
        <sz val="11"/>
        <color rgb="FFFF0000"/>
        <rFont val="Calibri"/>
        <family val="2"/>
        <scheme val="minor"/>
      </rPr>
      <t>2</t>
    </r>
    <r>
      <rPr>
        <b/>
        <sz val="11"/>
        <rFont val="Calibri"/>
        <family val="2"/>
        <scheme val="minor"/>
      </rPr>
      <t xml:space="preserve"> </t>
    </r>
    <r>
      <rPr>
        <b/>
        <sz val="11"/>
        <color rgb="FFFF0000"/>
        <rFont val="Calibri"/>
        <family val="2"/>
        <scheme val="minor"/>
      </rPr>
      <t>Project Management (optional):</t>
    </r>
    <r>
      <rPr>
        <b/>
        <vertAlign val="superscript"/>
        <sz val="11"/>
        <rFont val="Calibri"/>
        <family val="2"/>
        <scheme val="minor"/>
      </rPr>
      <t xml:space="preserve"> </t>
    </r>
    <r>
      <rPr>
        <b/>
        <sz val="11"/>
        <rFont val="Calibri"/>
        <family val="2"/>
        <scheme val="minor"/>
      </rPr>
      <t>Research Services &amp; Career Development Office offers project management support; as 5% fte; more information via the weblink below. Subject to capacity of Project Managers.</t>
    </r>
  </si>
  <si>
    <t>HORIZON EUROPE Project-Budget:</t>
  </si>
  <si>
    <t>see FAQs Horizon Europe</t>
  </si>
  <si>
    <r>
      <rPr>
        <b/>
        <vertAlign val="superscript"/>
        <sz val="14"/>
        <color rgb="FFFF0000"/>
        <rFont val="Calibri"/>
        <family val="2"/>
        <scheme val="minor"/>
      </rPr>
      <t>2</t>
    </r>
    <r>
      <rPr>
        <b/>
        <sz val="11"/>
        <color rgb="FFFF0000"/>
        <rFont val="Calibri"/>
        <family val="2"/>
        <scheme val="minor"/>
      </rPr>
      <t>ohne OvH</t>
    </r>
  </si>
  <si>
    <r>
      <rPr>
        <b/>
        <vertAlign val="superscript"/>
        <sz val="11"/>
        <color rgb="FFFF0000"/>
        <rFont val="Calibri"/>
        <family val="2"/>
        <scheme val="minor"/>
      </rPr>
      <t>1</t>
    </r>
    <r>
      <rPr>
        <b/>
        <sz val="11"/>
        <color rgb="FFFF0000"/>
        <rFont val="Calibri"/>
        <family val="2"/>
        <scheme val="minor"/>
      </rPr>
      <t xml:space="preserve"> mit OvH</t>
    </r>
  </si>
  <si>
    <r>
      <t>External Auditkosten</t>
    </r>
    <r>
      <rPr>
        <b/>
        <vertAlign val="superscript"/>
        <sz val="14"/>
        <color rgb="FFFF0000"/>
        <rFont val="Calibri"/>
        <family val="2"/>
        <scheme val="minor"/>
      </rPr>
      <t>2</t>
    </r>
    <r>
      <rPr>
        <b/>
        <sz val="11"/>
        <color rgb="FF535BFB"/>
        <rFont val="Calibri"/>
        <family val="2"/>
        <scheme val="minor"/>
      </rPr>
      <t>:</t>
    </r>
  </si>
  <si>
    <r>
      <t>Subcontracting</t>
    </r>
    <r>
      <rPr>
        <b/>
        <vertAlign val="superscript"/>
        <sz val="14"/>
        <color rgb="FFFF0000"/>
        <rFont val="Calibri"/>
        <family val="2"/>
        <scheme val="minor"/>
      </rPr>
      <t>3</t>
    </r>
    <r>
      <rPr>
        <b/>
        <sz val="11"/>
        <color rgb="FF535BFB"/>
        <rFont val="Calibri"/>
        <family val="2"/>
        <scheme val="minor"/>
      </rPr>
      <t>:</t>
    </r>
  </si>
  <si>
    <t>Personalkosten Total</t>
  </si>
  <si>
    <r>
      <t>External Auditkosten</t>
    </r>
    <r>
      <rPr>
        <b/>
        <vertAlign val="superscript"/>
        <sz val="14"/>
        <color rgb="FFFF0000"/>
        <rFont val="Calibri"/>
        <family val="2"/>
        <scheme val="minor"/>
      </rPr>
      <t>2</t>
    </r>
  </si>
  <si>
    <r>
      <t>Subcontracting</t>
    </r>
    <r>
      <rPr>
        <b/>
        <vertAlign val="superscript"/>
        <sz val="14"/>
        <color rgb="FFFF0000"/>
        <rFont val="Calibri"/>
        <family val="2"/>
        <scheme val="minor"/>
      </rPr>
      <t>3</t>
    </r>
  </si>
  <si>
    <t>Hilfszelle</t>
  </si>
  <si>
    <r>
      <rPr>
        <b/>
        <sz val="11"/>
        <color rgb="FFFF0000"/>
        <rFont val="Calibri"/>
        <family val="2"/>
        <scheme val="minor"/>
      </rPr>
      <t>External Audit</t>
    </r>
    <r>
      <rPr>
        <sz val="11"/>
        <color rgb="FFFF0000"/>
        <rFont val="Calibri"/>
        <family val="2"/>
        <scheme val="minor"/>
      </rPr>
      <t xml:space="preserve"> </t>
    </r>
    <r>
      <rPr>
        <sz val="11"/>
        <rFont val="Calibri"/>
        <family val="2"/>
        <scheme val="minor"/>
      </rPr>
      <t xml:space="preserve"> - certificates of the financial statements, CFS; 0,55% of the total direct costs (it is mandatory with funding &gt;= €430k). </t>
    </r>
  </si>
  <si>
    <t>Audit costs (CSF) if the total costs &gt;430.000 EUR then caluclate c. 0.55% of the direct costs for the audit in Andere Direkte Kosten</t>
  </si>
  <si>
    <t xml:space="preserve"> Jahreskosten FTE 2022</t>
  </si>
  <si>
    <t>Monatskosten FTE 2022</t>
  </si>
  <si>
    <t xml:space="preserve">*Personalkosten (PK), FTE = full-time equivalent, 2022 *KV-Sätze: </t>
  </si>
  <si>
    <t>Rectorate</t>
  </si>
  <si>
    <t>Updated 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</si>
</sst>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 #,##0.00"/>
    <numFmt numFmtId="166" formatCode="&quot;€&quot;\ #,##0"/>
  </numFmts>
  <fonts count="44" x14ac:knownFonts="1">
    <font>
      <sz val="11"/>
      <color theme="1"/>
      <name val="Calibri"/>
      <family val="2"/>
      <scheme val="minor"/>
    </font>
    <font>
      <b/>
      <sz val="11"/>
      <color theme="1"/>
      <name val="Calibri"/>
      <family val="2"/>
      <scheme val="minor"/>
    </font>
    <font>
      <b/>
      <sz val="10"/>
      <color theme="1"/>
      <name val="Arial"/>
      <family val="2"/>
    </font>
    <font>
      <b/>
      <sz val="12"/>
      <color theme="1"/>
      <name val="Calibri"/>
      <family val="2"/>
      <scheme val="minor"/>
    </font>
    <font>
      <b/>
      <sz val="11"/>
      <name val="Calibri"/>
      <family val="2"/>
      <scheme val="minor"/>
    </font>
    <font>
      <sz val="9"/>
      <color indexed="81"/>
      <name val="Segoe UI"/>
      <family val="2"/>
    </font>
    <font>
      <b/>
      <sz val="9"/>
      <color indexed="81"/>
      <name val="Segoe UI"/>
      <family val="2"/>
    </font>
    <font>
      <sz val="8"/>
      <color theme="1"/>
      <name val="Calibri"/>
      <family val="2"/>
      <scheme val="minor"/>
    </font>
    <font>
      <sz val="10"/>
      <color theme="1"/>
      <name val="Calibri"/>
      <family val="2"/>
      <scheme val="minor"/>
    </font>
    <font>
      <b/>
      <sz val="11"/>
      <color rgb="FFFF0000"/>
      <name val="Calibri"/>
      <family val="2"/>
      <scheme val="minor"/>
    </font>
    <font>
      <b/>
      <vertAlign val="superscript"/>
      <sz val="11"/>
      <color rgb="FFFF0000"/>
      <name val="Calibri"/>
      <family val="2"/>
      <scheme val="minor"/>
    </font>
    <font>
      <b/>
      <sz val="10"/>
      <color theme="1"/>
      <name val="Calibri"/>
      <family val="2"/>
      <scheme val="minor"/>
    </font>
    <font>
      <b/>
      <u/>
      <sz val="11"/>
      <color theme="1"/>
      <name val="Calibri"/>
      <family val="2"/>
      <scheme val="minor"/>
    </font>
    <font>
      <b/>
      <sz val="14"/>
      <color rgb="FFFF0000"/>
      <name val="Calibri"/>
      <family val="2"/>
      <scheme val="minor"/>
    </font>
    <font>
      <sz val="11"/>
      <name val="Calibri"/>
      <family val="2"/>
      <scheme val="minor"/>
    </font>
    <font>
      <sz val="11"/>
      <color rgb="FF7030A0"/>
      <name val="Calibri"/>
      <family val="2"/>
      <scheme val="minor"/>
    </font>
    <font>
      <b/>
      <sz val="11"/>
      <color rgb="FF7030A0"/>
      <name val="Calibri"/>
      <family val="2"/>
      <scheme val="minor"/>
    </font>
    <font>
      <sz val="11"/>
      <color rgb="FFFF0000"/>
      <name val="Calibri"/>
      <family val="2"/>
      <scheme val="minor"/>
    </font>
    <font>
      <u/>
      <sz val="11"/>
      <color theme="10"/>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sz val="11"/>
      <color theme="0" tint="-0.499984740745262"/>
      <name val="Calibri"/>
      <family val="2"/>
      <scheme val="minor"/>
    </font>
    <font>
      <b/>
      <sz val="11"/>
      <color theme="0" tint="-0.499984740745262"/>
      <name val="Calibri"/>
      <family val="2"/>
      <scheme val="minor"/>
    </font>
    <font>
      <sz val="11"/>
      <color rgb="FF0070C0"/>
      <name val="Calibri"/>
      <family val="2"/>
      <scheme val="minor"/>
    </font>
    <font>
      <b/>
      <u/>
      <sz val="11"/>
      <color theme="10"/>
      <name val="Calibri"/>
      <family val="2"/>
      <scheme val="minor"/>
    </font>
    <font>
      <b/>
      <sz val="11"/>
      <color rgb="FF535BFB"/>
      <name val="Calibri"/>
      <family val="2"/>
      <scheme val="minor"/>
    </font>
    <font>
      <b/>
      <vertAlign val="superscript"/>
      <sz val="14"/>
      <color rgb="FFFF0000"/>
      <name val="Calibri"/>
      <family val="2"/>
      <scheme val="minor"/>
    </font>
    <font>
      <b/>
      <i/>
      <sz val="11"/>
      <color rgb="FFFF0000"/>
      <name val="Calibri"/>
      <family val="2"/>
      <scheme val="minor"/>
    </font>
    <font>
      <sz val="12"/>
      <color theme="1"/>
      <name val="Calibri"/>
      <family val="2"/>
      <scheme val="minor"/>
    </font>
    <font>
      <b/>
      <sz val="12"/>
      <color rgb="FF7030A0"/>
      <name val="Calibri"/>
      <family val="2"/>
      <scheme val="minor"/>
    </font>
    <font>
      <b/>
      <i/>
      <sz val="11"/>
      <color theme="1"/>
      <name val="Calibri"/>
      <family val="2"/>
      <scheme val="minor"/>
    </font>
    <font>
      <b/>
      <i/>
      <sz val="12"/>
      <color theme="1"/>
      <name val="Calibri"/>
      <family val="2"/>
      <scheme val="minor"/>
    </font>
    <font>
      <b/>
      <vertAlign val="superscript"/>
      <sz val="11"/>
      <name val="Calibri"/>
      <family val="2"/>
      <scheme val="minor"/>
    </font>
    <font>
      <b/>
      <sz val="10"/>
      <color indexed="81"/>
      <name val="Segoe UI"/>
      <family val="2"/>
    </font>
    <font>
      <sz val="10"/>
      <color indexed="81"/>
      <name val="Segoe UI"/>
      <family val="2"/>
    </font>
    <font>
      <b/>
      <vertAlign val="superscript"/>
      <sz val="10"/>
      <color rgb="FFFF0000"/>
      <name val="Arial"/>
      <family val="2"/>
    </font>
    <font>
      <sz val="10"/>
      <color theme="1"/>
      <name val="Arial Unicode MS"/>
      <family val="2"/>
    </font>
    <font>
      <sz val="9"/>
      <color indexed="81"/>
      <name val="Tahoma"/>
      <family val="2"/>
    </font>
    <font>
      <b/>
      <sz val="9"/>
      <color indexed="81"/>
      <name val="Tahoma"/>
      <family val="2"/>
    </font>
    <font>
      <sz val="11"/>
      <color rgb="FF535BFB"/>
      <name val="Calibri"/>
      <family val="2"/>
      <scheme val="minor"/>
    </font>
    <font>
      <sz val="10"/>
      <color theme="1"/>
      <name val="Arial"/>
      <family val="2"/>
    </font>
    <font>
      <sz val="9"/>
      <color indexed="81"/>
      <name val="Tahoma"/>
      <charset val="1"/>
    </font>
    <font>
      <b/>
      <sz val="9"/>
      <color indexed="81"/>
      <name val="Tahoma"/>
      <charset val="1"/>
    </font>
  </fonts>
  <fills count="1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4FD1FF"/>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EEECE1"/>
        <bgColor indexed="64"/>
      </patternFill>
    </fill>
    <fill>
      <patternFill patternType="solid">
        <fgColor rgb="FFDCE6F1"/>
        <bgColor indexed="64"/>
      </patternFill>
    </fill>
    <fill>
      <patternFill patternType="solid">
        <fgColor rgb="FFDAEEF3"/>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EBF1DE"/>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style="thick">
        <color auto="1"/>
      </left>
      <right style="thick">
        <color auto="1"/>
      </right>
      <top style="thick">
        <color auto="1"/>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indexed="64"/>
      </right>
      <top style="thin">
        <color indexed="64"/>
      </top>
      <bottom style="thin">
        <color indexed="64"/>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ck">
        <color auto="1"/>
      </right>
      <top/>
      <bottom style="thin">
        <color auto="1"/>
      </bottom>
      <diagonal/>
    </border>
    <border>
      <left style="thin">
        <color auto="1"/>
      </left>
      <right/>
      <top/>
      <bottom style="thick">
        <color auto="1"/>
      </bottom>
      <diagonal/>
    </border>
    <border>
      <left style="thin">
        <color auto="1"/>
      </left>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top style="thin">
        <color auto="1"/>
      </top>
      <bottom/>
      <diagonal/>
    </border>
    <border>
      <left style="thin">
        <color auto="1"/>
      </left>
      <right/>
      <top style="thick">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bottom style="thin">
        <color indexed="64"/>
      </bottom>
      <diagonal/>
    </border>
    <border>
      <left style="thick">
        <color auto="1"/>
      </left>
      <right style="thick">
        <color auto="1"/>
      </right>
      <top style="thick">
        <color auto="1"/>
      </top>
      <bottom style="medium">
        <color auto="1"/>
      </bottom>
      <diagonal/>
    </border>
    <border>
      <left style="thin">
        <color auto="1"/>
      </left>
      <right style="thick">
        <color auto="1"/>
      </right>
      <top style="medium">
        <color auto="1"/>
      </top>
      <bottom style="thin">
        <color auto="1"/>
      </bottom>
      <diagonal/>
    </border>
    <border>
      <left/>
      <right style="thick">
        <color auto="1"/>
      </right>
      <top style="thick">
        <color auto="1"/>
      </top>
      <bottom/>
      <diagonal/>
    </border>
    <border>
      <left style="thick">
        <color auto="1"/>
      </left>
      <right/>
      <top style="thick">
        <color auto="1"/>
      </top>
      <bottom style="medium">
        <color auto="1"/>
      </bottom>
      <diagonal/>
    </border>
    <border>
      <left style="thin">
        <color auto="1"/>
      </left>
      <right/>
      <top style="thick">
        <color auto="1"/>
      </top>
      <bottom style="thin">
        <color auto="1"/>
      </bottom>
      <diagonal/>
    </border>
    <border>
      <left style="thin">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right/>
      <top/>
      <bottom style="thick">
        <color auto="1"/>
      </bottom>
      <diagonal/>
    </border>
    <border>
      <left style="thick">
        <color auto="1"/>
      </left>
      <right style="thick">
        <color auto="1"/>
      </right>
      <top style="thin">
        <color auto="1"/>
      </top>
      <bottom/>
      <diagonal/>
    </border>
    <border>
      <left/>
      <right/>
      <top style="thin">
        <color indexed="64"/>
      </top>
      <bottom/>
      <diagonal/>
    </border>
    <border>
      <left/>
      <right/>
      <top style="thick">
        <color auto="1"/>
      </top>
      <bottom style="thin">
        <color indexed="64"/>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medium">
        <color auto="1"/>
      </left>
      <right style="thick">
        <color auto="1"/>
      </right>
      <top style="thick">
        <color auto="1"/>
      </top>
      <bottom style="thin">
        <color indexed="64"/>
      </bottom>
      <diagonal/>
    </border>
    <border>
      <left style="medium">
        <color auto="1"/>
      </left>
      <right style="thick">
        <color auto="1"/>
      </right>
      <top/>
      <bottom/>
      <diagonal/>
    </border>
    <border>
      <left style="medium">
        <color auto="1"/>
      </left>
      <right style="thick">
        <color auto="1"/>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thick">
        <color auto="1"/>
      </top>
      <bottom style="medium">
        <color auto="1"/>
      </bottom>
      <diagonal/>
    </border>
    <border>
      <left style="medium">
        <color auto="1"/>
      </left>
      <right style="thin">
        <color auto="1"/>
      </right>
      <top style="thick">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thick">
        <color auto="1"/>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style="thick">
        <color indexed="64"/>
      </right>
      <top style="thick">
        <color indexed="64"/>
      </top>
      <bottom style="thin">
        <color indexed="64"/>
      </bottom>
      <diagonal/>
    </border>
    <border>
      <left style="medium">
        <color auto="1"/>
      </left>
      <right style="thin">
        <color indexed="64"/>
      </right>
      <top style="thin">
        <color auto="1"/>
      </top>
      <bottom style="medium">
        <color auto="1"/>
      </bottom>
      <diagonal/>
    </border>
    <border>
      <left style="thin">
        <color indexed="64"/>
      </left>
      <right style="thick">
        <color auto="1"/>
      </right>
      <top style="thin">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n">
        <color auto="1"/>
      </right>
      <top style="medium">
        <color auto="1"/>
      </top>
      <bottom style="thick">
        <color auto="1"/>
      </bottom>
      <diagonal/>
    </border>
    <border>
      <left style="thin">
        <color auto="1"/>
      </left>
      <right/>
      <top style="medium">
        <color auto="1"/>
      </top>
      <bottom style="thick">
        <color auto="1"/>
      </bottom>
      <diagonal/>
    </border>
    <border>
      <left style="thin">
        <color auto="1"/>
      </left>
      <right/>
      <top style="thin">
        <color auto="1"/>
      </top>
      <bottom style="thick">
        <color auto="1"/>
      </bottom>
      <diagonal/>
    </border>
    <border>
      <left style="thick">
        <color auto="1"/>
      </left>
      <right style="thick">
        <color auto="1"/>
      </right>
      <top style="thin">
        <color indexed="64"/>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right/>
      <top/>
      <bottom style="medium">
        <color auto="1"/>
      </bottom>
      <diagonal/>
    </border>
    <border>
      <left/>
      <right style="thick">
        <color auto="1"/>
      </right>
      <top/>
      <bottom style="medium">
        <color auto="1"/>
      </bottom>
      <diagonal/>
    </border>
    <border>
      <left/>
      <right/>
      <top style="thick">
        <color auto="1"/>
      </top>
      <bottom style="medium">
        <color auto="1"/>
      </bottom>
      <diagonal/>
    </border>
    <border>
      <left/>
      <right style="thin">
        <color indexed="64"/>
      </right>
      <top/>
      <bottom style="thin">
        <color indexed="64"/>
      </bottom>
      <diagonal/>
    </border>
    <border>
      <left/>
      <right style="thin">
        <color auto="1"/>
      </right>
      <top style="thick">
        <color auto="1"/>
      </top>
      <bottom style="thick">
        <color auto="1"/>
      </bottom>
      <diagonal/>
    </border>
    <border>
      <left style="thick">
        <color auto="1"/>
      </left>
      <right style="thick">
        <color auto="1"/>
      </right>
      <top style="thick">
        <color auto="1"/>
      </top>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233">
    <xf numFmtId="0" fontId="0" fillId="0" borderId="0" xfId="0"/>
    <xf numFmtId="0" fontId="1" fillId="0" borderId="0" xfId="0" applyFont="1"/>
    <xf numFmtId="3" fontId="0" fillId="0" borderId="0" xfId="0" applyNumberFormat="1" applyAlignment="1">
      <alignment horizontal="center"/>
    </xf>
    <xf numFmtId="9" fontId="0" fillId="0" borderId="0" xfId="0" applyNumberFormat="1" applyFill="1" applyAlignment="1">
      <alignment horizontal="center"/>
    </xf>
    <xf numFmtId="0" fontId="0" fillId="0" borderId="0" xfId="0" applyFill="1"/>
    <xf numFmtId="0" fontId="1" fillId="0" borderId="2" xfId="0" applyFont="1" applyBorder="1" applyAlignment="1">
      <alignment horizontal="right"/>
    </xf>
    <xf numFmtId="0" fontId="1" fillId="0" borderId="10" xfId="0" applyFont="1" applyBorder="1"/>
    <xf numFmtId="0" fontId="0" fillId="0" borderId="15" xfId="0" applyBorder="1"/>
    <xf numFmtId="0" fontId="0" fillId="0" borderId="18" xfId="0" applyBorder="1"/>
    <xf numFmtId="3" fontId="0" fillId="0" borderId="1" xfId="0" applyNumberFormat="1" applyFill="1" applyBorder="1"/>
    <xf numFmtId="0" fontId="0" fillId="5" borderId="0" xfId="0" applyFill="1"/>
    <xf numFmtId="3" fontId="0" fillId="0" borderId="15" xfId="0" applyNumberFormat="1" applyFill="1" applyBorder="1"/>
    <xf numFmtId="3" fontId="0" fillId="0" borderId="21" xfId="0" applyNumberFormat="1" applyFill="1" applyBorder="1"/>
    <xf numFmtId="3" fontId="3" fillId="2" borderId="23" xfId="0" applyNumberFormat="1" applyFont="1" applyFill="1" applyBorder="1"/>
    <xf numFmtId="0" fontId="1" fillId="0" borderId="0" xfId="0" applyFont="1" applyBorder="1" applyAlignment="1">
      <alignment horizontal="right"/>
    </xf>
    <xf numFmtId="3" fontId="0" fillId="0" borderId="0" xfId="0" applyNumberFormat="1" applyFill="1" applyBorder="1"/>
    <xf numFmtId="3" fontId="1" fillId="7" borderId="7" xfId="0" applyNumberFormat="1" applyFont="1" applyFill="1" applyBorder="1"/>
    <xf numFmtId="3" fontId="0" fillId="0" borderId="8" xfId="0" applyNumberFormat="1" applyFont="1" applyBorder="1"/>
    <xf numFmtId="0" fontId="1" fillId="0" borderId="29" xfId="0" applyFont="1" applyBorder="1" applyAlignment="1">
      <alignment horizontal="right"/>
    </xf>
    <xf numFmtId="0" fontId="3" fillId="2" borderId="22" xfId="0" applyFont="1" applyFill="1" applyBorder="1"/>
    <xf numFmtId="0" fontId="0" fillId="0" borderId="0" xfId="0" applyBorder="1"/>
    <xf numFmtId="3" fontId="1" fillId="7" borderId="38" xfId="0" applyNumberFormat="1" applyFont="1" applyFill="1" applyBorder="1"/>
    <xf numFmtId="0" fontId="7" fillId="0" borderId="0" xfId="0" applyFont="1"/>
    <xf numFmtId="0" fontId="7" fillId="0" borderId="41" xfId="0" applyFont="1" applyBorder="1"/>
    <xf numFmtId="14" fontId="0" fillId="0" borderId="0" xfId="0" applyNumberFormat="1"/>
    <xf numFmtId="3" fontId="0" fillId="0" borderId="25" xfId="0" applyNumberFormat="1" applyFill="1" applyBorder="1"/>
    <xf numFmtId="0" fontId="3" fillId="0" borderId="11" xfId="0" applyFont="1" applyBorder="1"/>
    <xf numFmtId="3" fontId="0" fillId="0" borderId="36" xfId="0" applyNumberFormat="1" applyFill="1" applyBorder="1"/>
    <xf numFmtId="3" fontId="0" fillId="0" borderId="37" xfId="0" applyNumberFormat="1" applyFill="1" applyBorder="1"/>
    <xf numFmtId="3" fontId="0" fillId="0" borderId="43" xfId="0" applyNumberFormat="1" applyFill="1" applyBorder="1"/>
    <xf numFmtId="0" fontId="1" fillId="7" borderId="42" xfId="0" applyFont="1" applyFill="1" applyBorder="1" applyAlignment="1">
      <alignment horizontal="center"/>
    </xf>
    <xf numFmtId="3" fontId="3" fillId="2" borderId="5" xfId="0" applyNumberFormat="1" applyFont="1" applyFill="1" applyBorder="1"/>
    <xf numFmtId="0" fontId="1" fillId="0" borderId="7" xfId="0" applyFont="1" applyBorder="1"/>
    <xf numFmtId="3" fontId="1" fillId="0" borderId="7" xfId="0" applyNumberFormat="1" applyFont="1" applyBorder="1"/>
    <xf numFmtId="0" fontId="3" fillId="7" borderId="45" xfId="0" applyFont="1" applyFill="1" applyBorder="1"/>
    <xf numFmtId="0" fontId="1" fillId="0" borderId="48" xfId="0" applyFont="1" applyBorder="1" applyAlignment="1">
      <alignment horizontal="center"/>
    </xf>
    <xf numFmtId="3" fontId="0" fillId="0" borderId="48" xfId="0" applyNumberFormat="1" applyBorder="1"/>
    <xf numFmtId="0" fontId="2" fillId="0" borderId="10" xfId="0" applyFont="1" applyBorder="1"/>
    <xf numFmtId="0" fontId="0" fillId="0" borderId="21" xfId="0" applyBorder="1"/>
    <xf numFmtId="0" fontId="2" fillId="0" borderId="49" xfId="0" applyFont="1" applyBorder="1"/>
    <xf numFmtId="0" fontId="0" fillId="0" borderId="51" xfId="0" applyBorder="1"/>
    <xf numFmtId="165" fontId="0" fillId="0" borderId="0" xfId="0" applyNumberFormat="1" applyBorder="1"/>
    <xf numFmtId="0" fontId="8" fillId="0" borderId="0" xfId="0" applyFont="1" applyBorder="1" applyAlignment="1">
      <alignment vertical="top"/>
    </xf>
    <xf numFmtId="0" fontId="8" fillId="0" borderId="0" xfId="0" applyFont="1" applyBorder="1" applyAlignment="1">
      <alignment vertical="top" wrapText="1"/>
    </xf>
    <xf numFmtId="0" fontId="0" fillId="0" borderId="1" xfId="0" applyBorder="1"/>
    <xf numFmtId="0" fontId="0" fillId="0" borderId="53" xfId="0" applyBorder="1"/>
    <xf numFmtId="0" fontId="0" fillId="0" borderId="54" xfId="0" applyBorder="1" applyAlignment="1">
      <alignment horizontal="right"/>
    </xf>
    <xf numFmtId="0" fontId="0" fillId="0" borderId="55" xfId="0" applyBorder="1"/>
    <xf numFmtId="165" fontId="0" fillId="0" borderId="59" xfId="0" applyNumberFormat="1" applyBorder="1"/>
    <xf numFmtId="0" fontId="0" fillId="0" borderId="60" xfId="0" applyBorder="1"/>
    <xf numFmtId="165" fontId="0" fillId="0" borderId="60" xfId="0" applyNumberFormat="1" applyBorder="1"/>
    <xf numFmtId="3" fontId="0" fillId="0" borderId="0" xfId="0" applyNumberFormat="1"/>
    <xf numFmtId="0" fontId="9" fillId="0" borderId="0" xfId="0" applyFont="1"/>
    <xf numFmtId="0" fontId="11" fillId="0" borderId="52" xfId="0" applyFont="1" applyBorder="1" applyAlignment="1">
      <alignment horizontal="center" vertical="top"/>
    </xf>
    <xf numFmtId="0" fontId="11" fillId="0" borderId="56" xfId="0" applyFont="1" applyBorder="1" applyAlignment="1">
      <alignment horizontal="right" vertical="top"/>
    </xf>
    <xf numFmtId="166" fontId="0" fillId="0" borderId="0" xfId="0" applyNumberFormat="1" applyAlignment="1">
      <alignment horizontal="center"/>
    </xf>
    <xf numFmtId="0" fontId="3" fillId="0" borderId="4" xfId="0" applyFont="1" applyFill="1" applyBorder="1" applyAlignment="1">
      <alignment horizontal="left"/>
    </xf>
    <xf numFmtId="0" fontId="1" fillId="0" borderId="0" xfId="0" applyFont="1" applyFill="1" applyBorder="1" applyAlignment="1">
      <alignment horizontal="right"/>
    </xf>
    <xf numFmtId="0" fontId="1" fillId="0" borderId="63" xfId="0" applyFont="1" applyBorder="1"/>
    <xf numFmtId="0" fontId="1" fillId="0" borderId="64" xfId="0" applyFont="1" applyBorder="1"/>
    <xf numFmtId="0" fontId="3" fillId="0" borderId="3" xfId="0" applyFont="1" applyFill="1" applyBorder="1" applyAlignment="1">
      <alignment horizontal="left"/>
    </xf>
    <xf numFmtId="3" fontId="0" fillId="4" borderId="65" xfId="0" applyNumberFormat="1" applyFill="1" applyBorder="1"/>
    <xf numFmtId="3" fontId="1" fillId="4" borderId="62" xfId="0" applyNumberFormat="1" applyFont="1" applyFill="1" applyBorder="1"/>
    <xf numFmtId="0" fontId="1" fillId="0" borderId="67" xfId="0" applyFont="1" applyFill="1" applyBorder="1" applyAlignment="1">
      <alignment horizontal="center"/>
    </xf>
    <xf numFmtId="0" fontId="1" fillId="0" borderId="12" xfId="0" applyFont="1" applyFill="1" applyBorder="1" applyAlignment="1">
      <alignment horizontal="center"/>
    </xf>
    <xf numFmtId="0" fontId="1" fillId="0" borderId="46" xfId="0" applyFont="1" applyFill="1" applyBorder="1" applyAlignment="1">
      <alignment horizontal="center"/>
    </xf>
    <xf numFmtId="0" fontId="1" fillId="0" borderId="67" xfId="0" applyFont="1" applyFill="1" applyBorder="1" applyAlignment="1">
      <alignment horizontal="right"/>
    </xf>
    <xf numFmtId="0" fontId="1" fillId="0" borderId="12" xfId="0" applyFont="1" applyFill="1" applyBorder="1" applyAlignment="1">
      <alignment horizontal="right"/>
    </xf>
    <xf numFmtId="0" fontId="1" fillId="0" borderId="46" xfId="0" applyFont="1" applyFill="1" applyBorder="1" applyAlignment="1">
      <alignment horizontal="right"/>
    </xf>
    <xf numFmtId="0" fontId="1" fillId="0" borderId="13" xfId="0" applyFont="1" applyFill="1" applyBorder="1" applyAlignment="1">
      <alignment horizontal="right"/>
    </xf>
    <xf numFmtId="0" fontId="3" fillId="0" borderId="68" xfId="0" applyFont="1" applyFill="1" applyBorder="1"/>
    <xf numFmtId="0" fontId="1" fillId="0" borderId="49" xfId="0" applyFont="1" applyBorder="1"/>
    <xf numFmtId="0" fontId="1" fillId="0" borderId="47" xfId="0" applyFont="1" applyBorder="1"/>
    <xf numFmtId="0" fontId="1" fillId="0" borderId="69" xfId="0" applyFont="1" applyBorder="1"/>
    <xf numFmtId="3" fontId="1" fillId="0" borderId="44" xfId="0" applyNumberFormat="1" applyFont="1" applyFill="1" applyBorder="1"/>
    <xf numFmtId="0" fontId="0" fillId="0" borderId="8" xfId="0" applyBorder="1"/>
    <xf numFmtId="0" fontId="0" fillId="0" borderId="9" xfId="0" applyBorder="1"/>
    <xf numFmtId="0" fontId="0" fillId="0" borderId="5" xfId="0" applyBorder="1"/>
    <xf numFmtId="0" fontId="0" fillId="5" borderId="23" xfId="0" applyFill="1" applyBorder="1"/>
    <xf numFmtId="0" fontId="3" fillId="0" borderId="61" xfId="0" applyFont="1" applyFill="1" applyBorder="1"/>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0" xfId="0" applyFont="1" applyAlignment="1">
      <alignment horizontal="center"/>
    </xf>
    <xf numFmtId="0" fontId="12" fillId="0" borderId="0" xfId="0" applyFont="1"/>
    <xf numFmtId="0" fontId="3" fillId="9" borderId="3" xfId="0" applyFont="1" applyFill="1" applyBorder="1"/>
    <xf numFmtId="0" fontId="3" fillId="9" borderId="7" xfId="0" applyFont="1" applyFill="1" applyBorder="1"/>
    <xf numFmtId="0" fontId="3" fillId="9" borderId="5" xfId="0" applyFont="1" applyFill="1" applyBorder="1" applyAlignment="1">
      <alignment horizontal="left"/>
    </xf>
    <xf numFmtId="0" fontId="13" fillId="0" borderId="0" xfId="0" applyFont="1" applyFill="1"/>
    <xf numFmtId="3" fontId="14" fillId="4" borderId="65" xfId="0" applyNumberFormat="1" applyFont="1" applyFill="1" applyBorder="1"/>
    <xf numFmtId="3" fontId="15" fillId="0" borderId="8" xfId="0" applyNumberFormat="1" applyFont="1" applyBorder="1"/>
    <xf numFmtId="0" fontId="17" fillId="0" borderId="0" xfId="0" applyFont="1" applyFill="1"/>
    <xf numFmtId="0" fontId="1" fillId="0" borderId="0" xfId="0" applyFont="1" applyFill="1" applyBorder="1"/>
    <xf numFmtId="0" fontId="0" fillId="0" borderId="41" xfId="0" applyBorder="1"/>
    <xf numFmtId="0" fontId="1" fillId="0" borderId="0" xfId="0" applyFont="1" applyBorder="1" applyAlignment="1">
      <alignment horizontal="center"/>
    </xf>
    <xf numFmtId="0" fontId="1" fillId="0" borderId="0" xfId="0" applyFont="1" applyAlignment="1">
      <alignment horizontal="right"/>
    </xf>
    <xf numFmtId="2" fontId="1" fillId="0" borderId="0" xfId="0" applyNumberFormat="1" applyFont="1" applyFill="1" applyBorder="1"/>
    <xf numFmtId="2" fontId="1" fillId="0" borderId="0" xfId="0" applyNumberFormat="1" applyFont="1"/>
    <xf numFmtId="0" fontId="1" fillId="0" borderId="13" xfId="0" applyNumberFormat="1" applyFont="1" applyFill="1" applyBorder="1" applyAlignment="1">
      <alignment horizontal="center"/>
    </xf>
    <xf numFmtId="10" fontId="0" fillId="0" borderId="0" xfId="0" applyNumberFormat="1"/>
    <xf numFmtId="9" fontId="0" fillId="0" borderId="0" xfId="0" applyNumberFormat="1"/>
    <xf numFmtId="0" fontId="7" fillId="0" borderId="0" xfId="0" applyFont="1" applyBorder="1"/>
    <xf numFmtId="3" fontId="14" fillId="11" borderId="25" xfId="0" applyNumberFormat="1" applyFont="1" applyFill="1" applyBorder="1"/>
    <xf numFmtId="3" fontId="14" fillId="12" borderId="25" xfId="0" applyNumberFormat="1" applyFont="1" applyFill="1" applyBorder="1"/>
    <xf numFmtId="3" fontId="14" fillId="13" borderId="36" xfId="0" applyNumberFormat="1" applyFont="1" applyFill="1" applyBorder="1"/>
    <xf numFmtId="0" fontId="14" fillId="14" borderId="26" xfId="0" applyNumberFormat="1" applyFont="1" applyFill="1" applyBorder="1"/>
    <xf numFmtId="0" fontId="0" fillId="0" borderId="46" xfId="0" applyBorder="1"/>
    <xf numFmtId="0" fontId="0" fillId="0" borderId="27" xfId="0" applyBorder="1"/>
    <xf numFmtId="0" fontId="3" fillId="9" borderId="6" xfId="0" applyFont="1" applyFill="1" applyBorder="1" applyAlignment="1">
      <alignment horizontal="left" vertical="center"/>
    </xf>
    <xf numFmtId="3" fontId="3" fillId="4" borderId="22" xfId="0" applyNumberFormat="1" applyFont="1" applyFill="1" applyBorder="1" applyAlignment="1">
      <alignment vertical="center"/>
    </xf>
    <xf numFmtId="3" fontId="3" fillId="10" borderId="7" xfId="0" applyNumberFormat="1" applyFont="1" applyFill="1" applyBorder="1" applyAlignment="1">
      <alignment vertical="center"/>
    </xf>
    <xf numFmtId="3" fontId="3" fillId="7" borderId="7" xfId="0" applyNumberFormat="1" applyFont="1" applyFill="1" applyBorder="1" applyAlignment="1">
      <alignment vertical="center"/>
    </xf>
    <xf numFmtId="0" fontId="20" fillId="0" borderId="11" xfId="0" applyFont="1" applyBorder="1" applyAlignment="1">
      <alignment vertical="top" wrapText="1"/>
    </xf>
    <xf numFmtId="0" fontId="20" fillId="0" borderId="70" xfId="0" applyFont="1" applyBorder="1" applyAlignment="1">
      <alignment wrapText="1"/>
    </xf>
    <xf numFmtId="165" fontId="3" fillId="0" borderId="30" xfId="0" applyNumberFormat="1" applyFont="1" applyBorder="1"/>
    <xf numFmtId="2" fontId="19" fillId="0" borderId="9" xfId="0" applyNumberFormat="1" applyFont="1" applyBorder="1"/>
    <xf numFmtId="0" fontId="3" fillId="0" borderId="0" xfId="0" applyFont="1"/>
    <xf numFmtId="0" fontId="21" fillId="0" borderId="0" xfId="0" applyFont="1"/>
    <xf numFmtId="0" fontId="1" fillId="0" borderId="1" xfId="0" applyFont="1" applyBorder="1"/>
    <xf numFmtId="0" fontId="1" fillId="16" borderId="1" xfId="0" applyFont="1" applyFill="1" applyBorder="1"/>
    <xf numFmtId="0" fontId="1" fillId="16" borderId="1" xfId="0" applyFont="1" applyFill="1" applyBorder="1" applyAlignment="1">
      <alignment horizontal="center"/>
    </xf>
    <xf numFmtId="164" fontId="0" fillId="0" borderId="1" xfId="0" applyNumberFormat="1" applyBorder="1"/>
    <xf numFmtId="3" fontId="1" fillId="0" borderId="1" xfId="0" applyNumberFormat="1" applyFont="1" applyBorder="1"/>
    <xf numFmtId="3" fontId="0" fillId="15" borderId="36" xfId="0" applyNumberFormat="1" applyFill="1" applyBorder="1"/>
    <xf numFmtId="0" fontId="17" fillId="0" borderId="1" xfId="0" applyFont="1" applyFill="1" applyBorder="1"/>
    <xf numFmtId="0" fontId="17" fillId="0" borderId="19" xfId="0" applyFont="1" applyFill="1" applyBorder="1"/>
    <xf numFmtId="3" fontId="17" fillId="0" borderId="1" xfId="0" applyNumberFormat="1" applyFont="1" applyFill="1" applyBorder="1"/>
    <xf numFmtId="164" fontId="1" fillId="17" borderId="37" xfId="0" applyNumberFormat="1" applyFont="1" applyFill="1" applyBorder="1"/>
    <xf numFmtId="3" fontId="24" fillId="0" borderId="9" xfId="0" applyNumberFormat="1" applyFont="1" applyBorder="1"/>
    <xf numFmtId="0" fontId="25" fillId="0" borderId="0" xfId="1" applyFont="1"/>
    <xf numFmtId="3" fontId="28" fillId="4" borderId="66" xfId="0" applyNumberFormat="1" applyFont="1" applyFill="1" applyBorder="1"/>
    <xf numFmtId="3" fontId="28" fillId="11" borderId="1" xfId="0" applyNumberFormat="1" applyFont="1" applyFill="1" applyBorder="1"/>
    <xf numFmtId="3" fontId="28" fillId="12" borderId="1" xfId="0" applyNumberFormat="1" applyFont="1" applyFill="1" applyBorder="1"/>
    <xf numFmtId="3" fontId="28" fillId="13" borderId="1" xfId="0" applyNumberFormat="1" applyFont="1" applyFill="1" applyBorder="1"/>
    <xf numFmtId="0" fontId="29" fillId="0" borderId="51" xfId="0" applyFont="1" applyBorder="1"/>
    <xf numFmtId="0" fontId="1" fillId="0" borderId="0" xfId="0" applyFont="1" applyAlignment="1">
      <alignment horizontal="left"/>
    </xf>
    <xf numFmtId="9" fontId="9" fillId="6" borderId="25" xfId="0" applyNumberFormat="1" applyFont="1" applyFill="1" applyBorder="1" applyAlignment="1">
      <alignment horizontal="center"/>
    </xf>
    <xf numFmtId="9" fontId="9" fillId="6" borderId="1" xfId="0" applyNumberFormat="1" applyFont="1" applyFill="1" applyBorder="1" applyAlignment="1">
      <alignment horizontal="center"/>
    </xf>
    <xf numFmtId="9" fontId="9" fillId="6" borderId="17" xfId="0" applyNumberFormat="1" applyFont="1" applyFill="1" applyBorder="1" applyAlignment="1">
      <alignment horizontal="center"/>
    </xf>
    <xf numFmtId="14" fontId="9" fillId="0" borderId="0" xfId="0" applyNumberFormat="1" applyFont="1" applyFill="1" applyBorder="1"/>
    <xf numFmtId="0" fontId="4" fillId="0" borderId="3" xfId="0" applyFont="1" applyFill="1" applyBorder="1" applyAlignment="1">
      <alignment horizontal="center"/>
    </xf>
    <xf numFmtId="164" fontId="1" fillId="6" borderId="5" xfId="0" applyNumberFormat="1" applyFont="1" applyFill="1" applyBorder="1" applyAlignment="1">
      <alignment horizontal="center"/>
    </xf>
    <xf numFmtId="0" fontId="1" fillId="0" borderId="3" xfId="0" applyFont="1" applyBorder="1" applyAlignment="1">
      <alignment horizontal="center"/>
    </xf>
    <xf numFmtId="9" fontId="4" fillId="9" borderId="5" xfId="0" applyNumberFormat="1" applyFont="1" applyFill="1" applyBorder="1"/>
    <xf numFmtId="0" fontId="32" fillId="8" borderId="46" xfId="0" applyFont="1" applyFill="1" applyBorder="1" applyAlignment="1">
      <alignment horizontal="center"/>
    </xf>
    <xf numFmtId="0" fontId="32" fillId="8" borderId="13" xfId="0" applyFont="1" applyFill="1" applyBorder="1" applyAlignment="1">
      <alignment horizontal="center"/>
    </xf>
    <xf numFmtId="0" fontId="30" fillId="3" borderId="34" xfId="0" applyFont="1" applyFill="1" applyBorder="1"/>
    <xf numFmtId="3" fontId="0" fillId="0" borderId="25" xfId="0" applyNumberFormat="1" applyBorder="1" applyAlignment="1">
      <alignment horizontal="center"/>
    </xf>
    <xf numFmtId="0" fontId="9" fillId="6" borderId="32" xfId="0" applyFont="1" applyFill="1" applyBorder="1" applyAlignment="1">
      <alignment horizontal="center" wrapText="1"/>
    </xf>
    <xf numFmtId="0" fontId="16" fillId="0" borderId="2" xfId="0" applyFont="1" applyFill="1" applyBorder="1" applyAlignment="1">
      <alignment horizontal="right"/>
    </xf>
    <xf numFmtId="0" fontId="16" fillId="0" borderId="29" xfId="0" applyFont="1" applyFill="1" applyBorder="1" applyAlignment="1">
      <alignment horizontal="right"/>
    </xf>
    <xf numFmtId="0" fontId="1" fillId="0" borderId="42" xfId="0" applyFont="1" applyFill="1" applyBorder="1" applyAlignment="1">
      <alignment horizontal="center"/>
    </xf>
    <xf numFmtId="165" fontId="0" fillId="0" borderId="14" xfId="0" applyNumberFormat="1" applyBorder="1" applyAlignment="1">
      <alignment horizontal="center"/>
    </xf>
    <xf numFmtId="165" fontId="0" fillId="0" borderId="20" xfId="0" applyNumberFormat="1" applyBorder="1" applyAlignment="1">
      <alignment horizontal="center"/>
    </xf>
    <xf numFmtId="165" fontId="0" fillId="0" borderId="16" xfId="0" applyNumberFormat="1" applyBorder="1" applyAlignment="1">
      <alignment horizontal="center"/>
    </xf>
    <xf numFmtId="3" fontId="0" fillId="0" borderId="17" xfId="0" applyNumberFormat="1" applyBorder="1" applyAlignment="1">
      <alignment horizontal="center"/>
    </xf>
    <xf numFmtId="0" fontId="1" fillId="0" borderId="68" xfId="0" applyFont="1" applyBorder="1" applyAlignment="1">
      <alignment horizontal="center" wrapText="1"/>
    </xf>
    <xf numFmtId="0" fontId="1" fillId="0" borderId="49" xfId="0" applyFont="1" applyFill="1" applyBorder="1" applyAlignment="1">
      <alignment horizontal="center" wrapText="1"/>
    </xf>
    <xf numFmtId="0" fontId="11" fillId="6" borderId="70" xfId="0" applyFont="1" applyFill="1" applyBorder="1" applyAlignment="1">
      <alignment horizontal="center" vertical="top"/>
    </xf>
    <xf numFmtId="0" fontId="11" fillId="6" borderId="67" xfId="0" applyFont="1" applyFill="1" applyBorder="1" applyAlignment="1">
      <alignment horizontal="center" vertical="top"/>
    </xf>
    <xf numFmtId="165" fontId="4" fillId="6" borderId="66" xfId="0" applyNumberFormat="1" applyFont="1" applyFill="1" applyBorder="1"/>
    <xf numFmtId="1" fontId="4" fillId="6" borderId="15" xfId="0" applyNumberFormat="1" applyFont="1" applyFill="1" applyBorder="1" applyAlignment="1">
      <alignment horizontal="center"/>
    </xf>
    <xf numFmtId="165" fontId="4" fillId="6" borderId="71" xfId="0" applyNumberFormat="1" applyFont="1" applyFill="1" applyBorder="1"/>
    <xf numFmtId="1" fontId="4" fillId="6" borderId="72" xfId="0" applyNumberFormat="1" applyFont="1" applyFill="1" applyBorder="1" applyAlignment="1">
      <alignment horizontal="center"/>
    </xf>
    <xf numFmtId="0" fontId="11" fillId="0" borderId="48" xfId="0" applyFont="1" applyFill="1" applyBorder="1" applyAlignment="1">
      <alignment horizontal="center" vertical="top"/>
    </xf>
    <xf numFmtId="0" fontId="4" fillId="0" borderId="39" xfId="0" applyFont="1" applyFill="1" applyBorder="1" applyAlignment="1">
      <alignment horizontal="center"/>
    </xf>
    <xf numFmtId="165" fontId="1" fillId="0" borderId="0" xfId="0" applyNumberFormat="1" applyFont="1" applyBorder="1"/>
    <xf numFmtId="165" fontId="1" fillId="0" borderId="57" xfId="0" applyNumberFormat="1" applyFont="1" applyBorder="1"/>
    <xf numFmtId="165" fontId="1" fillId="0" borderId="60" xfId="0" applyNumberFormat="1" applyFont="1" applyBorder="1"/>
    <xf numFmtId="165" fontId="1" fillId="0" borderId="58" xfId="0" applyNumberFormat="1" applyFont="1" applyBorder="1"/>
    <xf numFmtId="0" fontId="4" fillId="0" borderId="0" xfId="0" applyFont="1" applyAlignment="1"/>
    <xf numFmtId="0" fontId="4" fillId="0" borderId="0" xfId="0" applyFont="1"/>
    <xf numFmtId="9" fontId="1" fillId="9" borderId="7" xfId="0" applyNumberFormat="1" applyFont="1" applyFill="1" applyBorder="1" applyAlignment="1">
      <alignment horizontal="center"/>
    </xf>
    <xf numFmtId="0" fontId="26" fillId="0" borderId="75" xfId="0" applyFont="1" applyBorder="1" applyAlignment="1">
      <alignment horizontal="right"/>
    </xf>
    <xf numFmtId="0" fontId="26" fillId="0" borderId="30" xfId="0" applyFont="1" applyBorder="1" applyAlignment="1">
      <alignment horizontal="right"/>
    </xf>
    <xf numFmtId="0" fontId="2" fillId="0" borderId="0" xfId="0" applyFont="1" applyBorder="1"/>
    <xf numFmtId="0" fontId="33" fillId="0" borderId="0" xfId="1" applyFont="1"/>
    <xf numFmtId="0" fontId="1" fillId="0" borderId="16" xfId="0" applyFont="1" applyBorder="1"/>
    <xf numFmtId="0" fontId="20" fillId="6" borderId="17" xfId="0" applyFont="1" applyFill="1" applyBorder="1" applyAlignment="1">
      <alignment horizontal="center"/>
    </xf>
    <xf numFmtId="0" fontId="20" fillId="6" borderId="76" xfId="0" applyFont="1" applyFill="1" applyBorder="1" applyAlignment="1">
      <alignment horizontal="center"/>
    </xf>
    <xf numFmtId="0" fontId="1" fillId="7" borderId="40" xfId="0" applyFont="1" applyFill="1" applyBorder="1" applyAlignment="1">
      <alignment horizontal="center"/>
    </xf>
    <xf numFmtId="165" fontId="0" fillId="0" borderId="39" xfId="0" applyNumberFormat="1" applyBorder="1" applyAlignment="1">
      <alignment horizontal="right"/>
    </xf>
    <xf numFmtId="165" fontId="0" fillId="0" borderId="77" xfId="0" applyNumberFormat="1" applyBorder="1" applyAlignment="1">
      <alignment horizontal="right"/>
    </xf>
    <xf numFmtId="0" fontId="9" fillId="0" borderId="0" xfId="0" applyFont="1" applyFill="1"/>
    <xf numFmtId="0" fontId="3" fillId="7" borderId="7" xfId="0" applyFont="1" applyFill="1" applyBorder="1" applyAlignment="1">
      <alignment wrapText="1"/>
    </xf>
    <xf numFmtId="3" fontId="3" fillId="7" borderId="22" xfId="0" applyNumberFormat="1" applyFont="1" applyFill="1" applyBorder="1" applyAlignment="1">
      <alignment vertical="center"/>
    </xf>
    <xf numFmtId="3" fontId="3" fillId="7" borderId="23" xfId="0" applyNumberFormat="1" applyFont="1" applyFill="1" applyBorder="1" applyAlignment="1">
      <alignment vertical="center"/>
    </xf>
    <xf numFmtId="3" fontId="3" fillId="7" borderId="28" xfId="0" applyNumberFormat="1" applyFont="1" applyFill="1" applyBorder="1" applyAlignment="1">
      <alignment vertical="center"/>
    </xf>
    <xf numFmtId="3" fontId="40" fillId="4" borderId="74" xfId="0" applyNumberFormat="1" applyFont="1" applyFill="1" applyBorder="1"/>
    <xf numFmtId="3" fontId="26" fillId="7" borderId="69" xfId="0" applyNumberFormat="1" applyFont="1" applyFill="1" applyBorder="1"/>
    <xf numFmtId="0" fontId="26" fillId="0" borderId="78" xfId="0" applyFont="1" applyFill="1" applyBorder="1" applyAlignment="1">
      <alignment horizontal="right"/>
    </xf>
    <xf numFmtId="3" fontId="40" fillId="4" borderId="79" xfId="0" applyNumberFormat="1" applyFont="1" applyFill="1" applyBorder="1"/>
    <xf numFmtId="3" fontId="40" fillId="11" borderId="80" xfId="0" applyNumberFormat="1" applyFont="1" applyFill="1" applyBorder="1"/>
    <xf numFmtId="3" fontId="40" fillId="12" borderId="80" xfId="0" applyNumberFormat="1" applyFont="1" applyFill="1" applyBorder="1"/>
    <xf numFmtId="3" fontId="40" fillId="13" borderId="80" xfId="0" applyNumberFormat="1" applyFont="1" applyFill="1" applyBorder="1"/>
    <xf numFmtId="0" fontId="40" fillId="14" borderId="81" xfId="0" applyNumberFormat="1" applyFont="1" applyFill="1" applyBorder="1"/>
    <xf numFmtId="0" fontId="1" fillId="0" borderId="41" xfId="0" applyFont="1" applyFill="1" applyBorder="1" applyAlignment="1">
      <alignment horizontal="right"/>
    </xf>
    <xf numFmtId="3" fontId="14" fillId="4" borderId="66" xfId="0" applyNumberFormat="1" applyFont="1" applyFill="1" applyBorder="1"/>
    <xf numFmtId="3" fontId="14" fillId="11" borderId="1" xfId="0" applyNumberFormat="1" applyFont="1" applyFill="1" applyBorder="1"/>
    <xf numFmtId="3" fontId="14" fillId="12" borderId="1" xfId="0" applyNumberFormat="1" applyFont="1" applyFill="1" applyBorder="1"/>
    <xf numFmtId="3" fontId="14" fillId="13" borderId="37" xfId="0" applyNumberFormat="1" applyFont="1" applyFill="1" applyBorder="1"/>
    <xf numFmtId="0" fontId="14" fillId="14" borderId="15" xfId="0" applyNumberFormat="1" applyFont="1" applyFill="1" applyBorder="1"/>
    <xf numFmtId="0" fontId="14" fillId="0" borderId="0" xfId="0" applyFont="1" applyFill="1"/>
    <xf numFmtId="3" fontId="37" fillId="0" borderId="0" xfId="0" applyNumberFormat="1" applyFont="1" applyAlignment="1">
      <alignment vertical="center"/>
    </xf>
    <xf numFmtId="0" fontId="3" fillId="7" borderId="7" xfId="0" applyFont="1" applyFill="1" applyBorder="1" applyAlignment="1">
      <alignment horizontal="left" vertical="top" wrapText="1"/>
    </xf>
    <xf numFmtId="3" fontId="0" fillId="13" borderId="37" xfId="0" applyNumberFormat="1" applyFill="1" applyBorder="1"/>
    <xf numFmtId="3" fontId="0" fillId="13" borderId="19" xfId="0" applyNumberFormat="1" applyFill="1" applyBorder="1"/>
    <xf numFmtId="0" fontId="31" fillId="13" borderId="32" xfId="0" applyFont="1" applyFill="1" applyBorder="1" applyAlignment="1">
      <alignment horizontal="center"/>
    </xf>
    <xf numFmtId="0" fontId="31" fillId="13" borderId="35" xfId="0" applyFont="1" applyFill="1" applyBorder="1" applyAlignment="1">
      <alignment horizontal="center"/>
    </xf>
    <xf numFmtId="0" fontId="31" fillId="13" borderId="82" xfId="0" applyFont="1" applyFill="1" applyBorder="1" applyAlignment="1">
      <alignment horizontal="center"/>
    </xf>
    <xf numFmtId="0" fontId="31" fillId="13" borderId="73" xfId="0" applyFont="1" applyFill="1" applyBorder="1" applyAlignment="1">
      <alignment horizontal="center"/>
    </xf>
    <xf numFmtId="3" fontId="0" fillId="0" borderId="83" xfId="0" applyNumberFormat="1" applyFill="1" applyBorder="1"/>
    <xf numFmtId="3" fontId="0" fillId="0" borderId="19" xfId="0" applyNumberFormat="1" applyFill="1" applyBorder="1"/>
    <xf numFmtId="3" fontId="3" fillId="2" borderId="84" xfId="0" applyNumberFormat="1" applyFont="1" applyFill="1" applyBorder="1"/>
    <xf numFmtId="0" fontId="1" fillId="0" borderId="85" xfId="0" applyFont="1" applyBorder="1"/>
    <xf numFmtId="0" fontId="1" fillId="0" borderId="39" xfId="0" applyFont="1" applyBorder="1"/>
    <xf numFmtId="0" fontId="1" fillId="0" borderId="50" xfId="0" applyFont="1" applyBorder="1"/>
    <xf numFmtId="0" fontId="3" fillId="2" borderId="7" xfId="0" applyFont="1" applyFill="1" applyBorder="1" applyAlignment="1">
      <alignment horizontal="left"/>
    </xf>
    <xf numFmtId="3" fontId="14" fillId="11" borderId="36" xfId="0" applyNumberFormat="1" applyFont="1" applyFill="1" applyBorder="1"/>
    <xf numFmtId="3" fontId="14" fillId="11" borderId="37" xfId="0" applyNumberFormat="1" applyFont="1" applyFill="1" applyBorder="1"/>
    <xf numFmtId="1" fontId="0" fillId="0" borderId="60" xfId="0" applyNumberFormat="1" applyBorder="1"/>
    <xf numFmtId="165" fontId="8" fillId="0" borderId="0" xfId="0" applyNumberFormat="1" applyFont="1" applyBorder="1" applyAlignment="1">
      <alignment vertical="top" wrapText="1"/>
    </xf>
    <xf numFmtId="3" fontId="28" fillId="17" borderId="1" xfId="0" applyNumberFormat="1" applyFont="1" applyFill="1" applyBorder="1"/>
    <xf numFmtId="3" fontId="28" fillId="4" borderId="86" xfId="0" applyNumberFormat="1" applyFont="1" applyFill="1" applyBorder="1"/>
    <xf numFmtId="0" fontId="3" fillId="0" borderId="31" xfId="0" applyFont="1" applyFill="1" applyBorder="1" applyAlignment="1">
      <alignment horizontal="center" wrapText="1"/>
    </xf>
    <xf numFmtId="0" fontId="0" fillId="0" borderId="0" xfId="0" applyNumberFormat="1" applyFill="1" applyBorder="1" applyAlignment="1">
      <alignment horizontal="center"/>
    </xf>
    <xf numFmtId="0" fontId="14" fillId="0" borderId="0" xfId="0" applyNumberFormat="1" applyFont="1" applyFill="1" applyBorder="1" applyAlignment="1">
      <alignment horizontal="center"/>
    </xf>
    <xf numFmtId="0" fontId="41" fillId="0" borderId="0" xfId="0" applyFont="1" applyFill="1" applyBorder="1"/>
    <xf numFmtId="165" fontId="0" fillId="3" borderId="24" xfId="0" applyNumberFormat="1" applyFill="1" applyBorder="1" applyAlignment="1">
      <alignment horizontal="center"/>
    </xf>
    <xf numFmtId="0" fontId="17" fillId="0" borderId="87" xfId="0" applyFont="1" applyFill="1" applyBorder="1"/>
    <xf numFmtId="0" fontId="0" fillId="0" borderId="0" xfId="0" applyFill="1" applyBorder="1"/>
    <xf numFmtId="0" fontId="1" fillId="0" borderId="0" xfId="0" applyFont="1" applyFill="1" applyBorder="1" applyAlignment="1">
      <alignment horizontal="center"/>
    </xf>
    <xf numFmtId="164" fontId="22" fillId="0" borderId="0" xfId="0" applyNumberFormat="1" applyFont="1" applyFill="1" applyBorder="1"/>
    <xf numFmtId="3" fontId="23" fillId="0" borderId="0" xfId="0" applyNumberFormat="1" applyFont="1" applyFill="1" applyBorder="1"/>
  </cellXfs>
  <cellStyles count="2">
    <cellStyle name="Hyperlink" xfId="1" builtinId="8"/>
    <cellStyle name="Standard" xfId="0" builtinId="0"/>
  </cellStyles>
  <dxfs count="2">
    <dxf>
      <font>
        <color rgb="FF9C0006"/>
      </font>
    </dxf>
    <dxf>
      <font>
        <color rgb="FF9C0006"/>
      </font>
    </dxf>
  </dxfs>
  <tableStyles count="0" defaultTableStyle="TableStyleMedium9" defaultPivotStyle="PivotStyleLight16"/>
  <colors>
    <mruColors>
      <color rgb="FFEBF1DE"/>
      <color rgb="FFDAEEF3"/>
      <color rgb="FFDCE6F1"/>
      <color rgb="FFEEECE1"/>
      <color rgb="FFF2F2F2"/>
      <color rgb="FFFFC000"/>
      <color rgb="FF535BFB"/>
      <color rgb="FF0070C0"/>
      <color rgb="FF4FD1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Aufteilung der OvH</a:t>
            </a:r>
          </a:p>
        </c:rich>
      </c:tx>
      <c:layout>
        <c:manualLayout>
          <c:xMode val="edge"/>
          <c:yMode val="edge"/>
          <c:x val="4.6097112860892395E-2"/>
          <c:y val="3.7037037037037035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'Uni Wien OvH Verteilung'!$A$7</c:f>
              <c:strCache>
                <c:ptCount val="1"/>
                <c:pt idx="0">
                  <c:v>Prozent</c:v>
                </c:pt>
              </c:strCache>
            </c:strRef>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4F36-49F0-BD1B-A28EBA02F10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4F36-49F0-BD1B-A28EBA02F1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'Uni Wien OvH Verteilung'!$B$6:$C$6</c:f>
              <c:strCache>
                <c:ptCount val="2"/>
                <c:pt idx="0">
                  <c:v>Faculty</c:v>
                </c:pt>
                <c:pt idx="1">
                  <c:v>Rectorate</c:v>
                </c:pt>
              </c:strCache>
              <c:extLst xmlns:c16r2="http://schemas.microsoft.com/office/drawing/2015/06/chart">
                <c:ext xmlns:c15="http://schemas.microsoft.com/office/drawing/2012/chart" uri="{02D57815-91ED-43cb-92C2-25804820EDAC}">
                  <c15:fullRef>
                    <c15:sqref>'Uni Wien OvH Verteilung'!$B$6:$F$6</c15:sqref>
                  </c15:fullRef>
                </c:ext>
              </c:extLst>
            </c:strRef>
          </c:cat>
          <c:val>
            <c:numRef>
              <c:f>'Uni Wien OvH Verteilung'!$B$7:$C$7</c:f>
              <c:numCache>
                <c:formatCode>0.0%</c:formatCode>
                <c:ptCount val="2"/>
                <c:pt idx="0">
                  <c:v>0.5</c:v>
                </c:pt>
                <c:pt idx="1">
                  <c:v>0.5</c:v>
                </c:pt>
              </c:numCache>
              <c:extLst xmlns:c16r2="http://schemas.microsoft.com/office/drawing/2015/06/chart">
                <c:ext xmlns:c15="http://schemas.microsoft.com/office/drawing/2012/chart" uri="{02D57815-91ED-43cb-92C2-25804820EDAC}">
                  <c15:fullRef>
                    <c15:sqref>'Uni Wien OvH Verteilung'!$B$7:$F$7</c15:sqref>
                  </c15:fullRef>
                </c:ext>
              </c:extLst>
            </c:numRef>
          </c:val>
          <c:extLst xmlns:c16r2="http://schemas.microsoft.com/office/drawing/2015/06/chart">
            <c:ext xmlns:c15="http://schemas.microsoft.com/office/drawing/2012/chart" uri="{02D57815-91ED-43cb-92C2-25804820EDAC}">
              <c15:categoryFilterExceptions>
                <c15:categoryFilterException>
                  <c15:sqref>'Uni Wien OvH Verteilung'!$D$7</c15:sqref>
                  <c15:spPr xmlns:c15="http://schemas.microsoft.com/office/drawing/2012/chart">
                    <a:solidFill>
                      <a:schemeClr val="accent3"/>
                    </a:solidFill>
                    <a:ln w="25400">
                      <a:solidFill>
                        <a:schemeClr val="lt1"/>
                      </a:solidFill>
                    </a:ln>
                    <a:effectLst/>
                    <a:sp3d contourW="25400">
                      <a:contourClr>
                        <a:schemeClr val="lt1"/>
                      </a:contourClr>
                    </a:sp3d>
                  </c15:spPr>
                  <c15:bubble3D val="0"/>
                </c15:categoryFilterException>
                <c15:categoryFilterException>
                  <c15:sqref>'Uni Wien OvH Verteilung'!$E$7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'Uni Wien OvH Verteilung'!$F$7</c15:sqref>
                  <c15:spPr xmlns:c15="http://schemas.microsoft.com/office/drawing/2012/chart">
                    <a:solidFill>
                      <a:schemeClr val="accent5"/>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0A-4F36-49F0-BD1B-A28EBA02F102}"/>
            </c:ext>
          </c:extLst>
        </c:ser>
        <c:dLbls>
          <c:dLblPos val="out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786765</xdr:colOff>
      <xdr:row>8</xdr:row>
      <xdr:rowOff>174307</xdr:rowOff>
    </xdr:from>
    <xdr:to>
      <xdr:col>6</xdr:col>
      <xdr:colOff>422910</xdr:colOff>
      <xdr:row>23</xdr:row>
      <xdr:rowOff>67627</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schung.univie.ac.at/services/projektmanagement/" TargetMode="External"/><Relationship Id="rId2" Type="http://schemas.openxmlformats.org/officeDocument/2006/relationships/hyperlink" Target="https://personalwesen.univie.ac.at/kollektivvertrag/" TargetMode="External"/><Relationship Id="rId1" Type="http://schemas.openxmlformats.org/officeDocument/2006/relationships/hyperlink" Target="http://forschung.univie.ac.at/hom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0"/>
  <sheetViews>
    <sheetView tabSelected="1" workbookViewId="0">
      <selection activeCell="D1" sqref="D1"/>
    </sheetView>
  </sheetViews>
  <sheetFormatPr baseColWidth="10" defaultColWidth="11.44140625" defaultRowHeight="14.4" x14ac:dyDescent="0.3"/>
  <cols>
    <col min="1" max="1" width="25.6640625" customWidth="1"/>
    <col min="2" max="2" width="16" customWidth="1"/>
    <col min="3" max="3" width="15.6640625" customWidth="1"/>
    <col min="4" max="4" width="13.88671875" customWidth="1"/>
    <col min="5" max="5" width="14.88671875" customWidth="1"/>
    <col min="6" max="6" width="11.5546875" customWidth="1"/>
    <col min="7" max="7" width="14.33203125" customWidth="1"/>
    <col min="8" max="8" width="11.33203125" customWidth="1"/>
    <col min="9" max="9" width="24.6640625" customWidth="1"/>
    <col min="10" max="10" width="25.109375" customWidth="1"/>
    <col min="11" max="11" width="26.6640625" customWidth="1"/>
    <col min="12" max="12" width="9.44140625" customWidth="1"/>
    <col min="13" max="13" width="9.109375" customWidth="1"/>
    <col min="14" max="14" width="8.109375" customWidth="1"/>
    <col min="15" max="15" width="10.109375" customWidth="1"/>
    <col min="16" max="16" width="10.33203125" customWidth="1"/>
    <col min="17" max="17" width="13.33203125" customWidth="1"/>
    <col min="18" max="18" width="17.33203125" customWidth="1"/>
    <col min="19" max="19" width="15.33203125" customWidth="1"/>
  </cols>
  <sheetData>
    <row r="1" spans="1:18" s="4" customFormat="1" ht="16.2" customHeight="1" thickBot="1" x14ac:dyDescent="0.4">
      <c r="A1" s="87" t="s">
        <v>91</v>
      </c>
      <c r="D1" s="134" t="s">
        <v>107</v>
      </c>
      <c r="I1" s="90"/>
    </row>
    <row r="2" spans="1:18" ht="28.95" customHeight="1" thickTop="1" thickBot="1" x14ac:dyDescent="0.35">
      <c r="A2" s="79" t="s">
        <v>68</v>
      </c>
      <c r="B2" s="223" t="s">
        <v>103</v>
      </c>
      <c r="C2" s="80" t="s">
        <v>104</v>
      </c>
      <c r="D2" s="147" t="s">
        <v>2</v>
      </c>
      <c r="E2" s="81" t="s">
        <v>0</v>
      </c>
      <c r="F2" s="155" t="s">
        <v>46</v>
      </c>
      <c r="G2" s="156" t="s">
        <v>44</v>
      </c>
      <c r="I2" s="128" t="s">
        <v>105</v>
      </c>
      <c r="P2" s="22"/>
      <c r="Q2" s="93" t="s">
        <v>46</v>
      </c>
      <c r="R2" s="93" t="s">
        <v>48</v>
      </c>
    </row>
    <row r="3" spans="1:18" ht="16.2" x14ac:dyDescent="0.3">
      <c r="A3" s="6" t="s">
        <v>80</v>
      </c>
      <c r="B3" s="227">
        <v>135000</v>
      </c>
      <c r="C3" s="146">
        <f>B3/12</f>
        <v>11250</v>
      </c>
      <c r="D3" s="135">
        <v>0.25</v>
      </c>
      <c r="E3" s="7">
        <f>D3*40</f>
        <v>10</v>
      </c>
      <c r="F3" s="82">
        <f>(IF(D3 &gt; 0%, 1,0))*D3</f>
        <v>0.25</v>
      </c>
      <c r="G3" s="55">
        <f t="shared" ref="G3:G9" si="0">B3/1720</f>
        <v>78.488372093023258</v>
      </c>
      <c r="I3" s="1" t="s">
        <v>43</v>
      </c>
      <c r="P3" s="22"/>
      <c r="Q3" s="20">
        <f t="shared" ref="Q3:Q9" si="1">(IF(D3 &gt; 0%, 1,0))*D3</f>
        <v>0.25</v>
      </c>
      <c r="R3" s="20">
        <f>Q3*I15</f>
        <v>18</v>
      </c>
    </row>
    <row r="4" spans="1:18" x14ac:dyDescent="0.3">
      <c r="A4" s="6" t="s">
        <v>4</v>
      </c>
      <c r="B4" s="151">
        <v>80868.990000000005</v>
      </c>
      <c r="C4" s="146">
        <f t="shared" ref="C4:C10" si="2">B4/12</f>
        <v>6739.0825000000004</v>
      </c>
      <c r="D4" s="136">
        <v>0.1</v>
      </c>
      <c r="E4" s="7">
        <f>D4*40</f>
        <v>4</v>
      </c>
      <c r="F4" s="82">
        <f t="shared" ref="F4:F9" si="3">(IF(D4 &gt; 0%, 1,0))*D4</f>
        <v>0.1</v>
      </c>
      <c r="G4" s="55">
        <f t="shared" si="0"/>
        <v>47.016854651162795</v>
      </c>
      <c r="I4" s="1" t="s">
        <v>42</v>
      </c>
      <c r="P4" s="22"/>
      <c r="Q4" s="20">
        <f t="shared" si="1"/>
        <v>0.1</v>
      </c>
      <c r="R4" s="20">
        <f>Q4*I15</f>
        <v>7.2</v>
      </c>
    </row>
    <row r="5" spans="1:18" x14ac:dyDescent="0.3">
      <c r="A5" s="6" t="s">
        <v>3</v>
      </c>
      <c r="B5" s="151">
        <v>73198.570000000007</v>
      </c>
      <c r="C5" s="146">
        <f t="shared" si="2"/>
        <v>6099.8808333333336</v>
      </c>
      <c r="D5" s="136">
        <v>0.1</v>
      </c>
      <c r="E5" s="7">
        <f t="shared" ref="E5:E8" si="4">D5*40</f>
        <v>4</v>
      </c>
      <c r="F5" s="82">
        <f t="shared" si="3"/>
        <v>0.1</v>
      </c>
      <c r="G5" s="55">
        <f t="shared" si="0"/>
        <v>42.557308139534889</v>
      </c>
      <c r="I5" s="128" t="s">
        <v>78</v>
      </c>
      <c r="K5" s="1" t="s">
        <v>92</v>
      </c>
      <c r="P5" s="22"/>
      <c r="Q5" s="20">
        <f t="shared" si="1"/>
        <v>0.1</v>
      </c>
      <c r="R5" s="20">
        <f>Q5*I15</f>
        <v>7.2</v>
      </c>
    </row>
    <row r="6" spans="1:18" x14ac:dyDescent="0.3">
      <c r="A6" s="6" t="s">
        <v>5</v>
      </c>
      <c r="B6" s="151">
        <v>65360.82</v>
      </c>
      <c r="C6" s="146">
        <f t="shared" si="2"/>
        <v>5446.7349999999997</v>
      </c>
      <c r="D6" s="136">
        <v>0.2</v>
      </c>
      <c r="E6" s="7">
        <f t="shared" si="4"/>
        <v>8</v>
      </c>
      <c r="F6" s="82">
        <f t="shared" si="3"/>
        <v>0.2</v>
      </c>
      <c r="G6" s="55">
        <f t="shared" si="0"/>
        <v>38.000476744186045</v>
      </c>
      <c r="I6" s="91" t="s">
        <v>86</v>
      </c>
      <c r="P6" s="22"/>
      <c r="Q6" s="20">
        <f t="shared" si="1"/>
        <v>0.2</v>
      </c>
      <c r="R6" s="20">
        <f>Q6*I15</f>
        <v>14.4</v>
      </c>
    </row>
    <row r="7" spans="1:18" x14ac:dyDescent="0.3">
      <c r="A7" s="6" t="s">
        <v>6</v>
      </c>
      <c r="B7" s="151">
        <v>55153.39</v>
      </c>
      <c r="C7" s="146">
        <f t="shared" si="2"/>
        <v>4596.1158333333333</v>
      </c>
      <c r="D7" s="136">
        <v>0.1</v>
      </c>
      <c r="E7" s="7">
        <f t="shared" si="4"/>
        <v>4</v>
      </c>
      <c r="F7" s="82">
        <f t="shared" si="3"/>
        <v>0.1</v>
      </c>
      <c r="G7" s="55">
        <f t="shared" si="0"/>
        <v>32.065924418604652</v>
      </c>
      <c r="I7" s="91" t="s">
        <v>102</v>
      </c>
      <c r="P7" s="22"/>
      <c r="Q7" s="20">
        <f t="shared" si="1"/>
        <v>0.1</v>
      </c>
      <c r="R7" s="20">
        <f>Q7*I15</f>
        <v>7.2</v>
      </c>
    </row>
    <row r="8" spans="1:18" x14ac:dyDescent="0.3">
      <c r="A8" s="37" t="s">
        <v>26</v>
      </c>
      <c r="B8" s="152">
        <v>39888.129999999997</v>
      </c>
      <c r="C8" s="146">
        <f t="shared" si="2"/>
        <v>3324.0108333333333</v>
      </c>
      <c r="D8" s="136">
        <v>0.1</v>
      </c>
      <c r="E8" s="38">
        <f t="shared" si="4"/>
        <v>4</v>
      </c>
      <c r="F8" s="82">
        <f t="shared" si="3"/>
        <v>0.1</v>
      </c>
      <c r="G8" s="55">
        <f t="shared" si="0"/>
        <v>23.190773255813951</v>
      </c>
      <c r="I8" s="1" t="s">
        <v>70</v>
      </c>
      <c r="P8" s="22"/>
      <c r="Q8" s="20">
        <f t="shared" si="1"/>
        <v>0.1</v>
      </c>
      <c r="R8" s="20">
        <f>Q8*I15</f>
        <v>7.2</v>
      </c>
    </row>
    <row r="9" spans="1:18" ht="16.2" x14ac:dyDescent="0.3">
      <c r="A9" s="174" t="s">
        <v>89</v>
      </c>
      <c r="B9" s="152">
        <v>85540</v>
      </c>
      <c r="C9" s="146">
        <f>B9/12</f>
        <v>7128.333333333333</v>
      </c>
      <c r="D9" s="135">
        <v>0.05</v>
      </c>
      <c r="E9" s="7">
        <f>D9*40</f>
        <v>2</v>
      </c>
      <c r="F9" s="82">
        <f t="shared" si="3"/>
        <v>0.05</v>
      </c>
      <c r="G9" s="55">
        <f t="shared" si="0"/>
        <v>49.732558139534881</v>
      </c>
      <c r="I9" s="170" t="s">
        <v>87</v>
      </c>
      <c r="P9" s="22"/>
      <c r="Q9" s="20">
        <f t="shared" si="1"/>
        <v>0.05</v>
      </c>
      <c r="R9" s="20">
        <f>Q9*I15</f>
        <v>3.6</v>
      </c>
    </row>
    <row r="10" spans="1:18" ht="15" thickBot="1" x14ac:dyDescent="0.35">
      <c r="A10" s="39" t="s">
        <v>27</v>
      </c>
      <c r="B10" s="153">
        <v>20004.060000000001</v>
      </c>
      <c r="C10" s="154">
        <f t="shared" si="2"/>
        <v>1667.0050000000001</v>
      </c>
      <c r="D10" s="137">
        <v>0.1</v>
      </c>
      <c r="E10" s="8">
        <f>D10*20</f>
        <v>2</v>
      </c>
      <c r="F10" s="82">
        <f t="shared" ref="F10" si="5">(IF(D10 &gt; 0%, 1,0))*D10</f>
        <v>0.1</v>
      </c>
      <c r="G10" s="55">
        <f>B10/860</f>
        <v>23.260534883720933</v>
      </c>
      <c r="I10" s="134" t="s">
        <v>107</v>
      </c>
      <c r="P10" s="22"/>
      <c r="Q10" s="92">
        <f>(IF(D10 &gt; 0%, 0.5,0))*D10</f>
        <v>0.05</v>
      </c>
      <c r="R10" s="92">
        <f>Q10*I15</f>
        <v>3.6</v>
      </c>
    </row>
    <row r="11" spans="1:18" ht="15" customHeight="1" thickTop="1" thickBot="1" x14ac:dyDescent="0.35">
      <c r="B11" s="2"/>
      <c r="C11" s="2"/>
      <c r="D11" s="3"/>
      <c r="E11" s="4"/>
      <c r="F11" s="4"/>
      <c r="P11" s="94" t="s">
        <v>47</v>
      </c>
      <c r="Q11" s="95">
        <f>SUM(Q3:Q10)</f>
        <v>0.95</v>
      </c>
      <c r="R11" s="96">
        <f>SUM(R3:R10)</f>
        <v>68.399999999999991</v>
      </c>
    </row>
    <row r="12" spans="1:18" ht="17.399999999999999" thickTop="1" thickBot="1" x14ac:dyDescent="0.35">
      <c r="A12" s="139" t="s">
        <v>88</v>
      </c>
      <c r="B12" s="140">
        <v>0.05</v>
      </c>
      <c r="C12" s="141" t="s">
        <v>73</v>
      </c>
      <c r="D12" s="142">
        <v>0.25</v>
      </c>
      <c r="E12" s="82"/>
      <c r="F12" s="138"/>
      <c r="I12" s="169" t="s">
        <v>85</v>
      </c>
      <c r="P12" s="22"/>
    </row>
    <row r="13" spans="1:18" ht="14.4" customHeight="1" thickTop="1" thickBot="1" x14ac:dyDescent="0.35">
      <c r="A13" s="226" t="s">
        <v>100</v>
      </c>
      <c r="B13" s="224"/>
      <c r="C13">
        <v>1</v>
      </c>
      <c r="D13" s="225">
        <v>2</v>
      </c>
      <c r="E13">
        <v>3</v>
      </c>
      <c r="F13">
        <v>4</v>
      </c>
      <c r="G13">
        <v>5</v>
      </c>
      <c r="H13">
        <v>6</v>
      </c>
      <c r="I13" s="175" t="s">
        <v>90</v>
      </c>
      <c r="P13" s="22"/>
    </row>
    <row r="14" spans="1:18" ht="16.2" thickTop="1" x14ac:dyDescent="0.3">
      <c r="A14" s="26" t="s">
        <v>39</v>
      </c>
      <c r="B14" s="143">
        <v>2022</v>
      </c>
      <c r="C14" s="144">
        <v>2023</v>
      </c>
      <c r="D14" s="144">
        <v>2024</v>
      </c>
      <c r="E14" s="144">
        <v>2025</v>
      </c>
      <c r="F14" s="144">
        <v>2026</v>
      </c>
      <c r="G14" s="144">
        <v>2027</v>
      </c>
      <c r="H14" s="144">
        <v>2028</v>
      </c>
      <c r="I14" s="35" t="s">
        <v>1</v>
      </c>
      <c r="J14" s="128" t="s">
        <v>83</v>
      </c>
      <c r="K14" s="1"/>
      <c r="L14" s="1"/>
      <c r="M14" s="1"/>
      <c r="N14" s="1"/>
      <c r="Q14" s="22"/>
    </row>
    <row r="15" spans="1:18" ht="16.2" thickBot="1" x14ac:dyDescent="0.35">
      <c r="A15" s="176" t="s">
        <v>38</v>
      </c>
      <c r="B15" s="177">
        <v>0</v>
      </c>
      <c r="C15" s="177">
        <v>12</v>
      </c>
      <c r="D15" s="177">
        <v>12</v>
      </c>
      <c r="E15" s="178">
        <v>12</v>
      </c>
      <c r="F15" s="178">
        <v>12</v>
      </c>
      <c r="G15" s="177">
        <v>12</v>
      </c>
      <c r="H15" s="177">
        <v>12</v>
      </c>
      <c r="I15" s="179">
        <f>SUM(B15:H15)</f>
        <v>72</v>
      </c>
      <c r="Q15" s="22"/>
    </row>
    <row r="16" spans="1:18" s="1" customFormat="1" ht="10.95" customHeight="1" thickTop="1" thickBot="1" x14ac:dyDescent="0.35">
      <c r="A16" s="70"/>
      <c r="B16" s="71"/>
      <c r="C16" s="71"/>
      <c r="D16" s="71"/>
      <c r="E16" s="71"/>
      <c r="F16" s="71"/>
      <c r="G16" s="72"/>
      <c r="H16" s="72"/>
      <c r="I16" s="73"/>
      <c r="Q16" s="22"/>
    </row>
    <row r="17" spans="1:19" ht="16.8" thickTop="1" thickBot="1" x14ac:dyDescent="0.35">
      <c r="A17" s="34" t="s">
        <v>10</v>
      </c>
      <c r="B17" s="66"/>
      <c r="C17" s="67"/>
      <c r="D17" s="67"/>
      <c r="E17" s="68"/>
      <c r="F17" s="68"/>
      <c r="G17" s="69"/>
      <c r="H17" s="69"/>
      <c r="I17" s="150" t="s">
        <v>1</v>
      </c>
      <c r="K17" s="85" t="s">
        <v>23</v>
      </c>
      <c r="L17" s="206">
        <v>2022</v>
      </c>
      <c r="M17" s="206">
        <v>2023</v>
      </c>
      <c r="N17" s="207">
        <v>2024</v>
      </c>
      <c r="O17" s="207">
        <v>2025</v>
      </c>
      <c r="P17" s="208">
        <v>2026</v>
      </c>
      <c r="Q17" s="209">
        <v>2027</v>
      </c>
      <c r="R17" s="209">
        <v>2028</v>
      </c>
      <c r="S17" s="32" t="s">
        <v>25</v>
      </c>
    </row>
    <row r="18" spans="1:19" ht="17.399999999999999" thickTop="1" thickBot="1" x14ac:dyDescent="0.35">
      <c r="A18" s="6" t="s">
        <v>80</v>
      </c>
      <c r="B18" s="61">
        <f>B15*$C$3*$D$3</f>
        <v>0</v>
      </c>
      <c r="C18" s="61">
        <f t="shared" ref="C18:G18" si="6">C15*$C$3*$D$3*(1+$B$12)^C13</f>
        <v>35437.5</v>
      </c>
      <c r="D18" s="61">
        <f t="shared" si="6"/>
        <v>37209.375</v>
      </c>
      <c r="E18" s="61">
        <f t="shared" si="6"/>
        <v>39069.843750000007</v>
      </c>
      <c r="F18" s="61">
        <f t="shared" si="6"/>
        <v>41023.3359375</v>
      </c>
      <c r="G18" s="61">
        <f t="shared" si="6"/>
        <v>43074.502734375004</v>
      </c>
      <c r="H18" s="61">
        <f>H15*$C$3*$D$3*(1+$B$12)^H13</f>
        <v>45228.227871093746</v>
      </c>
      <c r="I18" s="21">
        <f>SUM(B18:H18)</f>
        <v>241042.78529296877</v>
      </c>
      <c r="K18" s="213" t="s">
        <v>80</v>
      </c>
      <c r="L18" s="210">
        <f t="shared" ref="L18:R25" si="7">B18*(1+$A$41)</f>
        <v>0</v>
      </c>
      <c r="M18" s="25">
        <f t="shared" si="7"/>
        <v>44296.875</v>
      </c>
      <c r="N18" s="25">
        <f t="shared" si="7"/>
        <v>46511.71875</v>
      </c>
      <c r="O18" s="27">
        <f t="shared" si="7"/>
        <v>48837.304687500007</v>
      </c>
      <c r="P18" s="27">
        <f t="shared" si="7"/>
        <v>51279.169921875</v>
      </c>
      <c r="Q18" s="29">
        <f t="shared" si="7"/>
        <v>53843.128417968757</v>
      </c>
      <c r="R18" s="29">
        <f t="shared" si="7"/>
        <v>56535.284838867185</v>
      </c>
      <c r="S18" s="36">
        <f>SUM(L18:R18)</f>
        <v>301303.48161621095</v>
      </c>
    </row>
    <row r="19" spans="1:19" ht="15.6" thickTop="1" thickBot="1" x14ac:dyDescent="0.35">
      <c r="A19" s="58" t="str">
        <f t="shared" ref="A19:A23" si="8">A4</f>
        <v>PostDoc &gt; 8 Jahre</v>
      </c>
      <c r="B19" s="61">
        <f>B15*$C$4*$D$4</f>
        <v>0</v>
      </c>
      <c r="C19" s="61">
        <f t="shared" ref="C19:G19" si="9">C15*$C$4*$D$4*(1+$B$12)^C13</f>
        <v>8491.2439500000019</v>
      </c>
      <c r="D19" s="61">
        <f t="shared" si="9"/>
        <v>8915.8061475000013</v>
      </c>
      <c r="E19" s="61">
        <f t="shared" si="9"/>
        <v>9361.5964548750017</v>
      </c>
      <c r="F19" s="61">
        <f t="shared" si="9"/>
        <v>9829.6762776187516</v>
      </c>
      <c r="G19" s="61">
        <f t="shared" si="9"/>
        <v>10321.160091499691</v>
      </c>
      <c r="H19" s="61">
        <f t="shared" ref="H19" si="10">H15*$C$4*$D$4*(1+$B$12)^H13</f>
        <v>10837.218096074674</v>
      </c>
      <c r="I19" s="21">
        <f t="shared" ref="I19:I25" si="11">SUM(B19:H19)</f>
        <v>57756.701017568121</v>
      </c>
      <c r="K19" s="214" t="str">
        <f>A19</f>
        <v>PostDoc &gt; 8 Jahre</v>
      </c>
      <c r="L19" s="211">
        <f t="shared" si="7"/>
        <v>0</v>
      </c>
      <c r="M19" s="9">
        <f t="shared" si="7"/>
        <v>10614.054937500003</v>
      </c>
      <c r="N19" s="9">
        <f t="shared" si="7"/>
        <v>11144.757684375001</v>
      </c>
      <c r="O19" s="28">
        <f t="shared" si="7"/>
        <v>11701.995568593753</v>
      </c>
      <c r="P19" s="27">
        <f t="shared" si="7"/>
        <v>12287.09534702344</v>
      </c>
      <c r="Q19" s="11">
        <f t="shared" si="7"/>
        <v>12901.450114374613</v>
      </c>
      <c r="R19" s="11">
        <f t="shared" si="7"/>
        <v>13546.522620093343</v>
      </c>
      <c r="S19" s="36">
        <f t="shared" ref="S19:S25" si="12">SUM(L19:R19)</f>
        <v>72195.876271960151</v>
      </c>
    </row>
    <row r="20" spans="1:19" ht="15.6" thickTop="1" thickBot="1" x14ac:dyDescent="0.35">
      <c r="A20" s="58" t="str">
        <f t="shared" si="8"/>
        <v>PostDoc &lt; 8 Jahre</v>
      </c>
      <c r="B20" s="61">
        <f>B15*$C$5*$D$5</f>
        <v>0</v>
      </c>
      <c r="C20" s="61">
        <f t="shared" ref="C20:G20" si="13">C15*$C$5*$D$5*(1+$B$12)^C13</f>
        <v>7685.8498500000014</v>
      </c>
      <c r="D20" s="61">
        <f t="shared" si="13"/>
        <v>8070.1423425000012</v>
      </c>
      <c r="E20" s="61">
        <f t="shared" si="13"/>
        <v>8473.6494596250013</v>
      </c>
      <c r="F20" s="61">
        <f t="shared" si="13"/>
        <v>8897.3319326062519</v>
      </c>
      <c r="G20" s="61">
        <f t="shared" si="13"/>
        <v>9342.1985292365644</v>
      </c>
      <c r="H20" s="61">
        <f t="shared" ref="H20" si="14">H15*$C$5*$D$5*(1+$B$12)^H13</f>
        <v>9809.3084556983922</v>
      </c>
      <c r="I20" s="21">
        <f t="shared" si="11"/>
        <v>52278.480569666208</v>
      </c>
      <c r="K20" s="214" t="str">
        <f>A20</f>
        <v>PostDoc &lt; 8 Jahre</v>
      </c>
      <c r="L20" s="211">
        <f t="shared" si="7"/>
        <v>0</v>
      </c>
      <c r="M20" s="9">
        <f t="shared" si="7"/>
        <v>9607.312312500002</v>
      </c>
      <c r="N20" s="9">
        <f t="shared" si="7"/>
        <v>10087.677928125002</v>
      </c>
      <c r="O20" s="28">
        <f t="shared" si="7"/>
        <v>10592.061824531251</v>
      </c>
      <c r="P20" s="27">
        <f t="shared" si="7"/>
        <v>11121.664915757814</v>
      </c>
      <c r="Q20" s="11">
        <f t="shared" si="7"/>
        <v>11677.748161545705</v>
      </c>
      <c r="R20" s="11">
        <f t="shared" si="7"/>
        <v>12261.635569622991</v>
      </c>
      <c r="S20" s="36">
        <f t="shared" si="12"/>
        <v>65348.100712082771</v>
      </c>
    </row>
    <row r="21" spans="1:19" ht="15.6" thickTop="1" thickBot="1" x14ac:dyDescent="0.35">
      <c r="A21" s="58" t="str">
        <f t="shared" si="8"/>
        <v>PhD Student &gt; 3 Jahre</v>
      </c>
      <c r="B21" s="61">
        <f>B15*$C$6*$D$6</f>
        <v>0</v>
      </c>
      <c r="C21" s="61">
        <f t="shared" ref="C21:G21" si="15">C15*$C$6*$D$6*(1+$B$12)^C13</f>
        <v>13725.772199999999</v>
      </c>
      <c r="D21" s="61">
        <f t="shared" si="15"/>
        <v>14412.060809999999</v>
      </c>
      <c r="E21" s="61">
        <f t="shared" si="15"/>
        <v>15132.663850500001</v>
      </c>
      <c r="F21" s="61">
        <f t="shared" si="15"/>
        <v>15889.297043024999</v>
      </c>
      <c r="G21" s="61">
        <f t="shared" si="15"/>
        <v>16683.761895176249</v>
      </c>
      <c r="H21" s="61">
        <f t="shared" ref="H21" si="16">H15*$C$6*$D$6*(1+$B$12)^H13</f>
        <v>17517.949989935059</v>
      </c>
      <c r="I21" s="21">
        <f t="shared" si="11"/>
        <v>93361.505788636307</v>
      </c>
      <c r="K21" s="214" t="str">
        <f>A21</f>
        <v>PhD Student &gt; 3 Jahre</v>
      </c>
      <c r="L21" s="211">
        <f t="shared" si="7"/>
        <v>0</v>
      </c>
      <c r="M21" s="9">
        <f t="shared" si="7"/>
        <v>17157.215250000001</v>
      </c>
      <c r="N21" s="9">
        <f t="shared" si="7"/>
        <v>18015.076012499998</v>
      </c>
      <c r="O21" s="28">
        <f t="shared" si="7"/>
        <v>18915.829813125001</v>
      </c>
      <c r="P21" s="27">
        <f t="shared" si="7"/>
        <v>19861.621303781249</v>
      </c>
      <c r="Q21" s="11">
        <f t="shared" si="7"/>
        <v>20854.702368970313</v>
      </c>
      <c r="R21" s="11">
        <f t="shared" si="7"/>
        <v>21897.437487418825</v>
      </c>
      <c r="S21" s="36">
        <f t="shared" si="12"/>
        <v>116701.8822357954</v>
      </c>
    </row>
    <row r="22" spans="1:19" ht="15.6" thickTop="1" thickBot="1" x14ac:dyDescent="0.35">
      <c r="A22" s="58" t="str">
        <f t="shared" si="8"/>
        <v>PhD Student &lt; 3 Jahre</v>
      </c>
      <c r="B22" s="61">
        <f>B15*$C$7*$D$7</f>
        <v>0</v>
      </c>
      <c r="C22" s="61">
        <f t="shared" ref="C22:G22" si="17">C15*$C$7*$D$7*(1+$B$12)^C13</f>
        <v>5791.1059500000001</v>
      </c>
      <c r="D22" s="61">
        <f t="shared" si="17"/>
        <v>6080.6612475000002</v>
      </c>
      <c r="E22" s="61">
        <f t="shared" si="17"/>
        <v>6384.6943098750007</v>
      </c>
      <c r="F22" s="61">
        <f t="shared" si="17"/>
        <v>6703.9290253687495</v>
      </c>
      <c r="G22" s="61">
        <f t="shared" si="17"/>
        <v>7039.1254766371885</v>
      </c>
      <c r="H22" s="61">
        <f t="shared" ref="H22" si="18">H15*$C$7*$D$7*(1+$B$12)^H13</f>
        <v>7391.0817504690467</v>
      </c>
      <c r="I22" s="21">
        <f t="shared" si="11"/>
        <v>39390.597759849989</v>
      </c>
      <c r="K22" s="214" t="str">
        <f>A22</f>
        <v>PhD Student &lt; 3 Jahre</v>
      </c>
      <c r="L22" s="211">
        <f t="shared" si="7"/>
        <v>0</v>
      </c>
      <c r="M22" s="9">
        <f t="shared" si="7"/>
        <v>7238.8824375000004</v>
      </c>
      <c r="N22" s="9">
        <f t="shared" si="7"/>
        <v>7600.8265593750002</v>
      </c>
      <c r="O22" s="28">
        <f t="shared" si="7"/>
        <v>7980.8678873437511</v>
      </c>
      <c r="P22" s="27">
        <f t="shared" si="7"/>
        <v>8379.9112817109362</v>
      </c>
      <c r="Q22" s="12">
        <f t="shared" si="7"/>
        <v>8798.9068457964859</v>
      </c>
      <c r="R22" s="12">
        <f t="shared" si="7"/>
        <v>9238.8521880863082</v>
      </c>
      <c r="S22" s="36">
        <f t="shared" si="12"/>
        <v>49238.247199812482</v>
      </c>
    </row>
    <row r="23" spans="1:19" ht="15.6" thickTop="1" thickBot="1" x14ac:dyDescent="0.35">
      <c r="A23" s="59" t="str">
        <f t="shared" si="8"/>
        <v>Admin/TA/Laborant</v>
      </c>
      <c r="B23" s="61">
        <f>B15*$C$8*$D$8</f>
        <v>0</v>
      </c>
      <c r="C23" s="61">
        <f t="shared" ref="C23:G23" si="19">C15*$C$8*$D$8*(1+$B$12)^C13</f>
        <v>4188.2536500000006</v>
      </c>
      <c r="D23" s="61">
        <f t="shared" si="19"/>
        <v>4397.6663325</v>
      </c>
      <c r="E23" s="61">
        <f t="shared" si="19"/>
        <v>4617.5496491250005</v>
      </c>
      <c r="F23" s="61">
        <f t="shared" si="19"/>
        <v>4848.4271315812503</v>
      </c>
      <c r="G23" s="61">
        <f t="shared" si="19"/>
        <v>5090.8484881603135</v>
      </c>
      <c r="H23" s="61">
        <f t="shared" ref="H23" si="20">H15*$C$8*$D$8*(1+$B$12)^H13</f>
        <v>5345.3909125683285</v>
      </c>
      <c r="I23" s="21">
        <f t="shared" si="11"/>
        <v>28488.136163934894</v>
      </c>
      <c r="K23" s="215" t="str">
        <f>A23</f>
        <v>Admin/TA/Laborant</v>
      </c>
      <c r="L23" s="210">
        <f t="shared" si="7"/>
        <v>0</v>
      </c>
      <c r="M23" s="25">
        <f t="shared" si="7"/>
        <v>5235.3170625000002</v>
      </c>
      <c r="N23" s="25">
        <f t="shared" si="7"/>
        <v>5497.0829156250002</v>
      </c>
      <c r="O23" s="27">
        <f t="shared" si="7"/>
        <v>5771.9370614062509</v>
      </c>
      <c r="P23" s="27">
        <f t="shared" si="7"/>
        <v>6060.533914476563</v>
      </c>
      <c r="Q23" s="11">
        <f t="shared" si="7"/>
        <v>6363.5606102003921</v>
      </c>
      <c r="R23" s="11">
        <f t="shared" si="7"/>
        <v>6681.7386407104104</v>
      </c>
      <c r="S23" s="36">
        <f t="shared" si="12"/>
        <v>35610.170204918621</v>
      </c>
    </row>
    <row r="24" spans="1:19" ht="17.399999999999999" thickTop="1" thickBot="1" x14ac:dyDescent="0.35">
      <c r="A24" s="174" t="s">
        <v>89</v>
      </c>
      <c r="B24" s="61">
        <f>B15*$C$9*$D$9</f>
        <v>0</v>
      </c>
      <c r="C24" s="61">
        <f t="shared" ref="C24:G24" si="21">C15*$C$9*$D$9*(1+$B$12)^C13</f>
        <v>4490.8500000000004</v>
      </c>
      <c r="D24" s="61">
        <f t="shared" si="21"/>
        <v>4715.3924999999999</v>
      </c>
      <c r="E24" s="61">
        <f t="shared" si="21"/>
        <v>4951.1621250000007</v>
      </c>
      <c r="F24" s="61">
        <f t="shared" si="21"/>
        <v>5198.7202312500003</v>
      </c>
      <c r="G24" s="61">
        <f t="shared" si="21"/>
        <v>5458.6562428125008</v>
      </c>
      <c r="H24" s="61">
        <f t="shared" ref="H24" si="22">H15*$C$9*$D$9*(1+$B$12)^H13</f>
        <v>5731.589054953125</v>
      </c>
      <c r="I24" s="21">
        <f t="shared" si="11"/>
        <v>30546.370154015625</v>
      </c>
      <c r="K24" s="215" t="s">
        <v>84</v>
      </c>
      <c r="L24" s="210">
        <f t="shared" si="7"/>
        <v>0</v>
      </c>
      <c r="M24" s="25">
        <f t="shared" si="7"/>
        <v>5613.5625</v>
      </c>
      <c r="N24" s="25">
        <f t="shared" si="7"/>
        <v>5894.2406250000004</v>
      </c>
      <c r="O24" s="27">
        <f t="shared" si="7"/>
        <v>6188.9526562500014</v>
      </c>
      <c r="P24" s="27">
        <f t="shared" si="7"/>
        <v>6498.4002890625006</v>
      </c>
      <c r="Q24" s="11">
        <f t="shared" si="7"/>
        <v>6823.3203035156257</v>
      </c>
      <c r="R24" s="11">
        <f t="shared" si="7"/>
        <v>7164.4863186914063</v>
      </c>
      <c r="S24" s="36">
        <f t="shared" si="12"/>
        <v>38182.962692519533</v>
      </c>
    </row>
    <row r="25" spans="1:19" ht="15.6" thickTop="1" thickBot="1" x14ac:dyDescent="0.35">
      <c r="A25" s="59" t="str">
        <f>A10</f>
        <v>Student (max. 20h/week)</v>
      </c>
      <c r="B25" s="61">
        <f>B15*$C$10*$D$10</f>
        <v>0</v>
      </c>
      <c r="C25" s="61">
        <f t="shared" ref="C25:G25" si="23">C15*$C$10*$D$10*(1+$B$12)^C13</f>
        <v>2100.4263000000001</v>
      </c>
      <c r="D25" s="61">
        <f t="shared" si="23"/>
        <v>2205.447615</v>
      </c>
      <c r="E25" s="61">
        <f t="shared" si="23"/>
        <v>2315.7199957500006</v>
      </c>
      <c r="F25" s="61">
        <f t="shared" si="23"/>
        <v>2431.5059955375004</v>
      </c>
      <c r="G25" s="61">
        <f t="shared" si="23"/>
        <v>2553.0812953143754</v>
      </c>
      <c r="H25" s="61">
        <f t="shared" ref="H25" si="24">H15*$C$10*$D$10*(1+$B$12)^H13</f>
        <v>2680.7353600800939</v>
      </c>
      <c r="I25" s="21">
        <f t="shared" si="11"/>
        <v>14286.916561681972</v>
      </c>
      <c r="K25" s="215" t="str">
        <f>A25</f>
        <v>Student (max. 20h/week)</v>
      </c>
      <c r="L25" s="211">
        <f t="shared" si="7"/>
        <v>0</v>
      </c>
      <c r="M25" s="9">
        <f t="shared" si="7"/>
        <v>2625.5328749999999</v>
      </c>
      <c r="N25" s="9">
        <f t="shared" si="7"/>
        <v>2756.8095187500003</v>
      </c>
      <c r="O25" s="28">
        <f t="shared" si="7"/>
        <v>2894.649994687501</v>
      </c>
      <c r="P25" s="27">
        <f t="shared" si="7"/>
        <v>3039.3824944218754</v>
      </c>
      <c r="Q25" s="11">
        <f t="shared" si="7"/>
        <v>3191.3516191429694</v>
      </c>
      <c r="R25" s="11">
        <f t="shared" si="7"/>
        <v>3350.9192001001175</v>
      </c>
      <c r="S25" s="36">
        <f t="shared" si="12"/>
        <v>17858.645702102465</v>
      </c>
    </row>
    <row r="26" spans="1:19" ht="14.4" customHeight="1" thickTop="1" thickBot="1" x14ac:dyDescent="0.35">
      <c r="A26" s="60" t="s">
        <v>97</v>
      </c>
      <c r="B26" s="62">
        <f t="shared" ref="B26:G26" si="25">SUM(B18:B25)</f>
        <v>0</v>
      </c>
      <c r="C26" s="62">
        <f t="shared" si="25"/>
        <v>81911.001900000017</v>
      </c>
      <c r="D26" s="62">
        <f t="shared" si="25"/>
        <v>86006.551995000002</v>
      </c>
      <c r="E26" s="62">
        <f t="shared" si="25"/>
        <v>90306.879594750004</v>
      </c>
      <c r="F26" s="62">
        <f t="shared" si="25"/>
        <v>94822.223574487507</v>
      </c>
      <c r="G26" s="62">
        <f t="shared" si="25"/>
        <v>99563.334753211879</v>
      </c>
      <c r="H26" s="62">
        <f t="shared" ref="H26" si="26">SUM(H18:H25)</f>
        <v>104541.50149087248</v>
      </c>
      <c r="I26" s="16">
        <f>SUM(I18:I25)</f>
        <v>557151.49330832192</v>
      </c>
      <c r="K26" s="216" t="s">
        <v>13</v>
      </c>
      <c r="L26" s="212">
        <f t="shared" ref="L26:Q26" si="27">SUM(L18:L25)</f>
        <v>0</v>
      </c>
      <c r="M26" s="13">
        <f t="shared" si="27"/>
        <v>102388.75237500003</v>
      </c>
      <c r="N26" s="13">
        <f t="shared" si="27"/>
        <v>107508.18999375</v>
      </c>
      <c r="O26" s="13">
        <f t="shared" si="27"/>
        <v>112883.5994934375</v>
      </c>
      <c r="P26" s="13">
        <f t="shared" si="27"/>
        <v>118527.77946810939</v>
      </c>
      <c r="Q26" s="13">
        <f t="shared" si="27"/>
        <v>124454.16844151488</v>
      </c>
      <c r="R26" s="13">
        <f t="shared" ref="R26" si="28">SUM(R18:R25)</f>
        <v>130676.87686359057</v>
      </c>
      <c r="S26" s="33">
        <f>SUM(S18:S25)</f>
        <v>696439.36663540232</v>
      </c>
    </row>
    <row r="27" spans="1:19" ht="15.6" thickTop="1" thickBot="1" x14ac:dyDescent="0.35">
      <c r="A27" s="10"/>
      <c r="B27" s="78"/>
      <c r="C27" s="78"/>
      <c r="D27" s="78"/>
      <c r="E27" s="78"/>
      <c r="F27" s="78"/>
      <c r="G27" s="78"/>
      <c r="H27" s="78"/>
      <c r="I27" s="77"/>
    </row>
    <row r="28" spans="1:19" ht="16.8" thickTop="1" thickBot="1" x14ac:dyDescent="0.35">
      <c r="A28" s="34" t="s">
        <v>9</v>
      </c>
      <c r="B28" s="63"/>
      <c r="C28" s="64"/>
      <c r="D28" s="64"/>
      <c r="E28" s="65"/>
      <c r="F28" s="65"/>
      <c r="G28" s="97"/>
      <c r="H28" s="97"/>
      <c r="I28" s="30" t="s">
        <v>1</v>
      </c>
      <c r="K28" s="84" t="s">
        <v>24</v>
      </c>
      <c r="L28" s="86"/>
    </row>
    <row r="29" spans="1:19" x14ac:dyDescent="0.3">
      <c r="A29" s="5" t="s">
        <v>8</v>
      </c>
      <c r="B29" s="88">
        <v>0</v>
      </c>
      <c r="C29" s="101">
        <v>0</v>
      </c>
      <c r="D29" s="102">
        <v>0</v>
      </c>
      <c r="E29" s="103">
        <v>0</v>
      </c>
      <c r="F29" s="217">
        <v>0</v>
      </c>
      <c r="G29" s="104">
        <v>0</v>
      </c>
      <c r="H29" s="104">
        <v>0</v>
      </c>
      <c r="I29" s="21">
        <f>SUM(B29:H29)</f>
        <v>0</v>
      </c>
      <c r="K29" s="18" t="s">
        <v>8</v>
      </c>
      <c r="L29" s="17">
        <f>I29*1.25</f>
        <v>0</v>
      </c>
    </row>
    <row r="30" spans="1:19" ht="19.8" x14ac:dyDescent="0.35">
      <c r="A30" s="148" t="s">
        <v>69</v>
      </c>
      <c r="B30" s="129">
        <f>F53/I15*B15</f>
        <v>0</v>
      </c>
      <c r="C30" s="130">
        <f>F53/I15*C15</f>
        <v>500</v>
      </c>
      <c r="D30" s="131">
        <f>F53/I15*D15</f>
        <v>500</v>
      </c>
      <c r="E30" s="132">
        <f>F53/I15*E15</f>
        <v>500</v>
      </c>
      <c r="F30" s="221">
        <f>F53/I15*F15</f>
        <v>500</v>
      </c>
      <c r="G30" s="222">
        <f>F53/I15*G15</f>
        <v>500</v>
      </c>
      <c r="H30" s="222">
        <f>F53/I15*H15</f>
        <v>500</v>
      </c>
      <c r="I30" s="21">
        <f t="shared" ref="I30:I33" si="29">SUM(B30:H30)</f>
        <v>3000</v>
      </c>
      <c r="K30" s="149" t="s">
        <v>69</v>
      </c>
      <c r="L30" s="89">
        <f>F53*1.25</f>
        <v>3750</v>
      </c>
      <c r="M30" s="52" t="s">
        <v>94</v>
      </c>
    </row>
    <row r="31" spans="1:19" x14ac:dyDescent="0.3">
      <c r="A31" s="5" t="s">
        <v>7</v>
      </c>
      <c r="B31" s="88">
        <v>0</v>
      </c>
      <c r="C31" s="101">
        <v>0</v>
      </c>
      <c r="D31" s="102">
        <v>0</v>
      </c>
      <c r="E31" s="103">
        <v>0</v>
      </c>
      <c r="F31" s="217">
        <v>0</v>
      </c>
      <c r="G31" s="104">
        <v>0</v>
      </c>
      <c r="H31" s="104">
        <v>0</v>
      </c>
      <c r="I31" s="21">
        <f>SUM(B31:H31)</f>
        <v>0</v>
      </c>
      <c r="K31" s="18" t="s">
        <v>12</v>
      </c>
      <c r="L31" s="17">
        <f>I31*1.25</f>
        <v>0</v>
      </c>
    </row>
    <row r="32" spans="1:19" x14ac:dyDescent="0.3">
      <c r="A32" s="5" t="s">
        <v>22</v>
      </c>
      <c r="B32" s="88">
        <v>0</v>
      </c>
      <c r="C32" s="101">
        <v>0</v>
      </c>
      <c r="D32" s="102">
        <v>0</v>
      </c>
      <c r="E32" s="103">
        <v>0</v>
      </c>
      <c r="F32" s="217">
        <v>0</v>
      </c>
      <c r="G32" s="104">
        <v>0</v>
      </c>
      <c r="H32" s="104">
        <v>0</v>
      </c>
      <c r="I32" s="21">
        <f>SUM(B32:H32)</f>
        <v>0</v>
      </c>
      <c r="K32" s="18" t="s">
        <v>11</v>
      </c>
      <c r="L32" s="17">
        <f>I32*1.25</f>
        <v>0</v>
      </c>
    </row>
    <row r="33" spans="1:22" x14ac:dyDescent="0.3">
      <c r="A33" s="195" t="s">
        <v>82</v>
      </c>
      <c r="B33" s="196">
        <v>0</v>
      </c>
      <c r="C33" s="197">
        <v>0</v>
      </c>
      <c r="D33" s="198">
        <v>0</v>
      </c>
      <c r="E33" s="199">
        <v>0</v>
      </c>
      <c r="F33" s="218">
        <v>0</v>
      </c>
      <c r="G33" s="200">
        <v>0</v>
      </c>
      <c r="H33" s="200">
        <v>0</v>
      </c>
      <c r="I33" s="21">
        <f t="shared" si="29"/>
        <v>0</v>
      </c>
      <c r="K33" s="18" t="s">
        <v>45</v>
      </c>
      <c r="L33" s="17">
        <f>I33*1.25</f>
        <v>0</v>
      </c>
      <c r="U33" s="51">
        <f>I26+I29+I30+I31+I32+I33+I35</f>
        <v>577651.49330832192</v>
      </c>
    </row>
    <row r="34" spans="1:22" ht="20.399999999999999" thickBot="1" x14ac:dyDescent="0.4">
      <c r="A34" s="189" t="s">
        <v>95</v>
      </c>
      <c r="B34" s="190"/>
      <c r="C34" s="191"/>
      <c r="D34" s="192"/>
      <c r="E34" s="193"/>
      <c r="F34" s="191"/>
      <c r="G34" s="194"/>
      <c r="H34" s="194"/>
      <c r="I34" s="21">
        <f>V34</f>
        <v>3177.0832131957709</v>
      </c>
      <c r="K34" s="18" t="s">
        <v>98</v>
      </c>
      <c r="L34" s="17">
        <f>I34*1.25</f>
        <v>3971.3540164947135</v>
      </c>
      <c r="M34" s="201" t="s">
        <v>101</v>
      </c>
      <c r="N34" s="201"/>
      <c r="O34" s="201"/>
      <c r="P34" s="201"/>
      <c r="Q34" s="201"/>
      <c r="R34" s="201"/>
      <c r="S34" s="201"/>
      <c r="T34" s="201"/>
      <c r="U34" s="204">
        <f>SUM(I26,I29,I30,I31,I32,I33)*0.25+SUM(I26,I29,I30,I31,I32,I33,I35)</f>
        <v>717689.36663540243</v>
      </c>
      <c r="V34" s="205">
        <f>IF(U34 &gt;= 430000,U33*0.55%,U33*0%)</f>
        <v>3177.0832131957709</v>
      </c>
    </row>
    <row r="35" spans="1:22" ht="20.399999999999999" thickBot="1" x14ac:dyDescent="0.4">
      <c r="A35" s="172" t="s">
        <v>96</v>
      </c>
      <c r="B35" s="187">
        <v>2500</v>
      </c>
      <c r="C35" s="187">
        <v>2500</v>
      </c>
      <c r="D35" s="187">
        <v>2500</v>
      </c>
      <c r="E35" s="187">
        <v>2500</v>
      </c>
      <c r="F35" s="187">
        <v>2500</v>
      </c>
      <c r="G35" s="187">
        <v>2500</v>
      </c>
      <c r="H35" s="187">
        <v>2500</v>
      </c>
      <c r="I35" s="188">
        <f>SUM(B35:H35)</f>
        <v>17500</v>
      </c>
      <c r="K35" s="173" t="s">
        <v>99</v>
      </c>
      <c r="L35" s="127">
        <f>SUM(I35)</f>
        <v>17500</v>
      </c>
      <c r="M35" s="182" t="s">
        <v>93</v>
      </c>
    </row>
    <row r="36" spans="1:22" ht="15.6" customHeight="1" thickTop="1" thickBot="1" x14ac:dyDescent="0.35">
      <c r="A36" s="56"/>
      <c r="B36" s="62">
        <f t="shared" ref="B36:G36" si="30">SUM(B29:B35)</f>
        <v>2500</v>
      </c>
      <c r="C36" s="62">
        <f t="shared" si="30"/>
        <v>3000</v>
      </c>
      <c r="D36" s="62">
        <f t="shared" si="30"/>
        <v>3000</v>
      </c>
      <c r="E36" s="62">
        <f t="shared" si="30"/>
        <v>3000</v>
      </c>
      <c r="F36" s="62">
        <f t="shared" si="30"/>
        <v>3000</v>
      </c>
      <c r="G36" s="62">
        <f t="shared" si="30"/>
        <v>3000</v>
      </c>
      <c r="H36" s="62">
        <f t="shared" ref="H36" si="31">SUM(H29:H35)</f>
        <v>3000</v>
      </c>
      <c r="I36" s="16">
        <f>SUM(I29:I35)</f>
        <v>23677.083213195772</v>
      </c>
      <c r="K36" s="19" t="s">
        <v>15</v>
      </c>
      <c r="L36" s="31">
        <f>SUM(L29:L35)</f>
        <v>25221.354016494712</v>
      </c>
      <c r="M36" s="4"/>
    </row>
    <row r="37" spans="1:22" ht="9.6" customHeight="1" thickTop="1" thickBot="1" x14ac:dyDescent="0.35">
      <c r="A37" s="14"/>
      <c r="B37" s="15"/>
      <c r="C37" s="15"/>
      <c r="D37" s="15"/>
      <c r="E37" s="15"/>
      <c r="F37" s="15"/>
      <c r="G37" s="15"/>
      <c r="H37" s="15"/>
      <c r="I37" s="74"/>
    </row>
    <row r="38" spans="1:22" ht="18.600000000000001" customHeight="1" thickTop="1" thickBot="1" x14ac:dyDescent="0.35">
      <c r="A38" s="203" t="s">
        <v>40</v>
      </c>
      <c r="B38" s="108">
        <f>SUM(B26,B29:B35)</f>
        <v>2500</v>
      </c>
      <c r="C38" s="108">
        <f>SUM(C26,C29:C35)</f>
        <v>84911.001900000017</v>
      </c>
      <c r="D38" s="108">
        <f t="shared" ref="D38:G38" si="32">SUM(D26,D29:D35)</f>
        <v>89006.551995000002</v>
      </c>
      <c r="E38" s="108">
        <f t="shared" si="32"/>
        <v>93306.879594750004</v>
      </c>
      <c r="F38" s="108">
        <f t="shared" si="32"/>
        <v>97822.223574487507</v>
      </c>
      <c r="G38" s="108">
        <f t="shared" si="32"/>
        <v>102563.33475321188</v>
      </c>
      <c r="H38" s="108">
        <f t="shared" ref="H38" si="33">SUM(H26,H29:H35)</f>
        <v>107541.50149087248</v>
      </c>
      <c r="I38" s="110">
        <f>SUM(I26,I36)</f>
        <v>580828.57652151771</v>
      </c>
    </row>
    <row r="39" spans="1:22" ht="12.6" customHeight="1" thickTop="1" thickBot="1" x14ac:dyDescent="0.35">
      <c r="A39" s="57"/>
      <c r="I39" s="75"/>
    </row>
    <row r="40" spans="1:22" ht="21.6" customHeight="1" thickTop="1" thickBot="1" x14ac:dyDescent="0.35">
      <c r="A40" s="107" t="s">
        <v>14</v>
      </c>
      <c r="B40" s="108">
        <f>SUM(B38-B35)*$A$41</f>
        <v>0</v>
      </c>
      <c r="C40" s="108">
        <f t="shared" ref="C40:G40" si="34">SUM(C38-C35)*$A$41</f>
        <v>20602.750475000004</v>
      </c>
      <c r="D40" s="108">
        <f t="shared" si="34"/>
        <v>21626.63799875</v>
      </c>
      <c r="E40" s="108">
        <f t="shared" si="34"/>
        <v>22701.719898687501</v>
      </c>
      <c r="F40" s="108">
        <f t="shared" si="34"/>
        <v>23830.555893621877</v>
      </c>
      <c r="G40" s="108">
        <f t="shared" si="34"/>
        <v>25015.83368830297</v>
      </c>
      <c r="H40" s="108">
        <f t="shared" ref="H40" si="35">SUM(H38-H35)*$A$41</f>
        <v>26260.375372718121</v>
      </c>
      <c r="I40" s="109">
        <f>SUM(B40:H40)+(I34*25%)</f>
        <v>140832.14413037943</v>
      </c>
    </row>
    <row r="41" spans="1:22" ht="15.6" thickTop="1" thickBot="1" x14ac:dyDescent="0.35">
      <c r="A41" s="171">
        <f>D12</f>
        <v>0.25</v>
      </c>
      <c r="I41" s="76"/>
    </row>
    <row r="42" spans="1:22" ht="57" customHeight="1" thickTop="1" thickBot="1" x14ac:dyDescent="0.35">
      <c r="A42" s="183" t="s">
        <v>41</v>
      </c>
      <c r="B42" s="184">
        <f>SUM(B38,B40)</f>
        <v>2500</v>
      </c>
      <c r="C42" s="185">
        <f t="shared" ref="C42:G42" si="36">SUM(C38,C40)</f>
        <v>105513.75237500003</v>
      </c>
      <c r="D42" s="185">
        <f t="shared" si="36"/>
        <v>110633.18999375</v>
      </c>
      <c r="E42" s="186">
        <f t="shared" si="36"/>
        <v>116008.5994934375</v>
      </c>
      <c r="F42" s="184">
        <f>SUM(F38,F40)</f>
        <v>121652.77946810938</v>
      </c>
      <c r="G42" s="185">
        <f t="shared" si="36"/>
        <v>127579.16844151485</v>
      </c>
      <c r="H42" s="185">
        <f t="shared" ref="H42" si="37">SUM(H38,H40)</f>
        <v>133801.87686359062</v>
      </c>
      <c r="I42" s="110">
        <f>SUM(I38,I40)</f>
        <v>721660.72065189714</v>
      </c>
      <c r="K42" s="111" t="s">
        <v>79</v>
      </c>
      <c r="L42" s="105"/>
      <c r="M42" s="112" t="s">
        <v>49</v>
      </c>
    </row>
    <row r="43" spans="1:22" ht="16.8" thickTop="1" thickBot="1" x14ac:dyDescent="0.35">
      <c r="I43" s="51"/>
      <c r="K43" s="113">
        <f>(AVERAGE(I18)/I15+AVERAGE(I19)/I15+AVERAGE(I20)/I15+AVERAGE(I21)/I15+AVERAGE(I22)/I15+AVERAGE(I23)/I15+AVERAGE(I24)/I15+AVERAGE(I25)/I15)/Q11</f>
        <v>8145.4896682503204</v>
      </c>
      <c r="L43" s="106"/>
      <c r="M43" s="114">
        <f>SUM(R11)</f>
        <v>68.399999999999991</v>
      </c>
    </row>
    <row r="44" spans="1:22" ht="15" thickTop="1" x14ac:dyDescent="0.3">
      <c r="I44" s="51"/>
      <c r="K44" s="42"/>
    </row>
    <row r="45" spans="1:22" x14ac:dyDescent="0.3">
      <c r="H45" s="20"/>
      <c r="I45" s="51"/>
      <c r="J45" s="42"/>
    </row>
    <row r="46" spans="1:22" ht="20.399999999999999" thickBot="1" x14ac:dyDescent="0.4">
      <c r="A46" s="145" t="s">
        <v>81</v>
      </c>
      <c r="B46" s="133"/>
      <c r="C46" s="40"/>
      <c r="D46" s="40"/>
      <c r="E46" s="40"/>
      <c r="F46" s="40"/>
      <c r="G46" s="40"/>
      <c r="H46" s="43"/>
      <c r="I46" s="202"/>
      <c r="J46" s="41"/>
      <c r="K46" s="20"/>
    </row>
    <row r="47" spans="1:22" ht="15" thickTop="1" x14ac:dyDescent="0.3">
      <c r="A47" s="45"/>
      <c r="B47" s="158" t="s">
        <v>33</v>
      </c>
      <c r="C47" s="157" t="s">
        <v>72</v>
      </c>
      <c r="D47" s="53" t="s">
        <v>34</v>
      </c>
      <c r="E47" s="163" t="s">
        <v>37</v>
      </c>
      <c r="F47" s="53" t="s">
        <v>35</v>
      </c>
      <c r="G47" s="54" t="s">
        <v>36</v>
      </c>
      <c r="H47" s="43"/>
      <c r="I47" s="43"/>
      <c r="J47" s="42"/>
    </row>
    <row r="48" spans="1:22" ht="15" customHeight="1" x14ac:dyDescent="0.3">
      <c r="A48" s="46" t="s">
        <v>28</v>
      </c>
      <c r="B48" s="159">
        <v>1500</v>
      </c>
      <c r="C48" s="160">
        <v>4</v>
      </c>
      <c r="D48" s="180">
        <f>IF(B48&lt;=0, ,B48/C48)</f>
        <v>375</v>
      </c>
      <c r="E48" s="164">
        <f>SUM(I15)/12</f>
        <v>6</v>
      </c>
      <c r="F48" s="165">
        <f>IF(C48&gt;E48,B48-(C48-E48)*D48,IF(C48&lt;E48,D48*C48,C48*D48))</f>
        <v>1500</v>
      </c>
      <c r="G48" s="166">
        <f>F48-B48</f>
        <v>0</v>
      </c>
      <c r="H48" s="43"/>
      <c r="I48" s="220"/>
      <c r="J48" s="220"/>
      <c r="K48" s="220"/>
      <c r="L48" s="220"/>
      <c r="M48" s="220"/>
    </row>
    <row r="49" spans="1:11" x14ac:dyDescent="0.3">
      <c r="A49" s="46" t="s">
        <v>29</v>
      </c>
      <c r="B49" s="159">
        <v>1500</v>
      </c>
      <c r="C49" s="160">
        <v>4</v>
      </c>
      <c r="D49" s="180">
        <f>IF(B49&lt;=0, ,B49/C49)</f>
        <v>375</v>
      </c>
      <c r="E49" s="164">
        <f>SUM(I15)/12</f>
        <v>6</v>
      </c>
      <c r="F49" s="165">
        <f>IF(C49&gt;E49,B49-(C49-E49)*D49,IF(C49&lt;E49,D49*C49,C49*D49))</f>
        <v>1500</v>
      </c>
      <c r="G49" s="166">
        <f>F49-B49</f>
        <v>0</v>
      </c>
      <c r="H49" s="20"/>
      <c r="I49" s="43"/>
      <c r="J49" s="43"/>
    </row>
    <row r="50" spans="1:11" x14ac:dyDescent="0.3">
      <c r="A50" s="46" t="s">
        <v>30</v>
      </c>
      <c r="B50" s="159">
        <v>0</v>
      </c>
      <c r="C50" s="160">
        <v>10</v>
      </c>
      <c r="D50" s="180">
        <f>IF(B50&lt;=0, ,B50/C50)</f>
        <v>0</v>
      </c>
      <c r="E50" s="164">
        <f>SUM(I15)/12</f>
        <v>6</v>
      </c>
      <c r="F50" s="165">
        <f>IF(C50&gt;E50,B50-(C50-E50)*D50,IF(C50&lt;E50,D50*C50,C50*D50))</f>
        <v>0</v>
      </c>
      <c r="G50" s="166">
        <f>F50-B50</f>
        <v>0</v>
      </c>
      <c r="H50" s="20"/>
      <c r="I50" s="20"/>
      <c r="J50" s="43"/>
    </row>
    <row r="51" spans="1:11" x14ac:dyDescent="0.3">
      <c r="A51" s="46" t="s">
        <v>31</v>
      </c>
      <c r="B51" s="159">
        <v>0</v>
      </c>
      <c r="C51" s="160">
        <v>0</v>
      </c>
      <c r="D51" s="180">
        <f>IF(B51&lt;=0, ,B51/C51)</f>
        <v>0</v>
      </c>
      <c r="E51" s="164">
        <f>SUM(I15)/12</f>
        <v>6</v>
      </c>
      <c r="F51" s="165">
        <f>IF(C51&gt;E51,B51-(C51-E51)*D51,IF(C51&lt;E51,D51*C51,C51*D51))</f>
        <v>0</v>
      </c>
      <c r="G51" s="166">
        <f>F51-B51</f>
        <v>0</v>
      </c>
      <c r="H51" s="20"/>
      <c r="I51" s="20"/>
      <c r="J51" s="43"/>
    </row>
    <row r="52" spans="1:11" ht="15" thickBot="1" x14ac:dyDescent="0.35">
      <c r="A52" s="46" t="s">
        <v>32</v>
      </c>
      <c r="B52" s="161">
        <v>0</v>
      </c>
      <c r="C52" s="162">
        <v>0</v>
      </c>
      <c r="D52" s="181">
        <f>IF(B52&lt;=0, ,B52/C52)</f>
        <v>0</v>
      </c>
      <c r="E52" s="164">
        <f>SUM(I15)/12</f>
        <v>6</v>
      </c>
      <c r="F52" s="165">
        <f>IF(C52&gt;E52,B52-(C52-E52)*D52,IF(C52&lt;E52,D52*C52,C52*D52))</f>
        <v>0</v>
      </c>
      <c r="G52" s="166">
        <f>F52-B52</f>
        <v>0</v>
      </c>
      <c r="I52" s="20"/>
      <c r="J52" s="43"/>
    </row>
    <row r="53" spans="1:11" ht="15" thickBot="1" x14ac:dyDescent="0.35">
      <c r="A53" s="47"/>
      <c r="B53" s="48">
        <f>SUM(B48:B52)</f>
        <v>3000</v>
      </c>
      <c r="C53" s="219">
        <f>SUM(C48:C52)</f>
        <v>18</v>
      </c>
      <c r="D53" s="50">
        <f>SUM(D48:D52)</f>
        <v>750</v>
      </c>
      <c r="E53" s="49"/>
      <c r="F53" s="167">
        <f>SUM(F48:F52)</f>
        <v>3000</v>
      </c>
      <c r="G53" s="168">
        <f>SUM(G48:G52)</f>
        <v>0</v>
      </c>
      <c r="J53" s="20"/>
    </row>
    <row r="54" spans="1:11" ht="15" thickTop="1" x14ac:dyDescent="0.3">
      <c r="K54" s="20"/>
    </row>
    <row r="55" spans="1:11" x14ac:dyDescent="0.3">
      <c r="K55" s="20"/>
    </row>
    <row r="56" spans="1:11" x14ac:dyDescent="0.3">
      <c r="A56" s="83" t="s">
        <v>71</v>
      </c>
      <c r="B56" s="1"/>
    </row>
    <row r="57" spans="1:11" x14ac:dyDescent="0.3">
      <c r="A57" t="s">
        <v>67</v>
      </c>
      <c r="D57" t="s">
        <v>74</v>
      </c>
    </row>
    <row r="58" spans="1:11" x14ac:dyDescent="0.3">
      <c r="A58" t="s">
        <v>64</v>
      </c>
      <c r="D58" t="s">
        <v>75</v>
      </c>
    </row>
    <row r="59" spans="1:11" x14ac:dyDescent="0.3">
      <c r="A59" t="s">
        <v>65</v>
      </c>
      <c r="D59" t="s">
        <v>76</v>
      </c>
    </row>
    <row r="60" spans="1:11" x14ac:dyDescent="0.3">
      <c r="A60" t="s">
        <v>66</v>
      </c>
      <c r="D60" t="s">
        <v>77</v>
      </c>
    </row>
  </sheetData>
  <conditionalFormatting sqref="G48:G52">
    <cfRule type="cellIs" dxfId="1" priority="2" operator="lessThan">
      <formula>0</formula>
    </cfRule>
  </conditionalFormatting>
  <conditionalFormatting sqref="G53">
    <cfRule type="cellIs" dxfId="0" priority="1" operator="lessThan">
      <formula>0</formula>
    </cfRule>
  </conditionalFormatting>
  <hyperlinks>
    <hyperlink ref="I5" r:id="rId1"/>
    <hyperlink ref="I2" r:id="rId2" display="*Personalkosten (PK), FTE = full-time equivalent, 2016 *KV-Sätze: "/>
    <hyperlink ref="J14" r:id="rId3"/>
  </hyperlinks>
  <pageMargins left="0.7" right="0.7" top="0.78740157499999996" bottom="0.78740157499999996" header="0.3" footer="0.3"/>
  <pageSetup paperSize="9" orientation="portrait" r:id="rId4"/>
  <ignoredErrors>
    <ignoredError sqref="F48" evalError="1"/>
  </ignoredError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9"/>
  <sheetViews>
    <sheetView workbookViewId="0">
      <selection activeCell="P10" sqref="P10"/>
    </sheetView>
  </sheetViews>
  <sheetFormatPr baseColWidth="10" defaultColWidth="11.44140625" defaultRowHeight="14.4" x14ac:dyDescent="0.3"/>
  <cols>
    <col min="2" max="2" width="16.44140625" customWidth="1"/>
    <col min="7" max="7" width="11.44140625" customWidth="1"/>
    <col min="8" max="8" width="11.109375" customWidth="1"/>
    <col min="9" max="9" width="16.33203125" hidden="1" customWidth="1"/>
    <col min="10" max="15" width="11.44140625" hidden="1" customWidth="1"/>
  </cols>
  <sheetData>
    <row r="1" spans="1:15" ht="18" x14ac:dyDescent="0.35">
      <c r="A1" s="115" t="s">
        <v>61</v>
      </c>
      <c r="B1" s="116"/>
    </row>
    <row r="3" spans="1:15" x14ac:dyDescent="0.3">
      <c r="A3" s="117" t="s">
        <v>50</v>
      </c>
      <c r="B3" s="126" t="s">
        <v>51</v>
      </c>
      <c r="C3" s="123"/>
      <c r="D3" s="123" t="s">
        <v>62</v>
      </c>
      <c r="E3" s="124"/>
      <c r="J3" t="s">
        <v>59</v>
      </c>
      <c r="K3" t="s">
        <v>53</v>
      </c>
      <c r="L3" t="s">
        <v>54</v>
      </c>
      <c r="M3" t="s">
        <v>55</v>
      </c>
      <c r="N3" t="s">
        <v>58</v>
      </c>
    </row>
    <row r="4" spans="1:15" x14ac:dyDescent="0.3">
      <c r="A4" s="117" t="s">
        <v>63</v>
      </c>
      <c r="B4" s="122">
        <f>SUM('Uni Wien interne Kalkulation'!I40)</f>
        <v>140832.14413037943</v>
      </c>
      <c r="C4" s="125"/>
      <c r="D4" s="123"/>
      <c r="E4" s="228"/>
      <c r="I4" t="s">
        <v>57</v>
      </c>
      <c r="J4" s="98">
        <v>0.12</v>
      </c>
      <c r="K4" s="98">
        <v>0.34</v>
      </c>
      <c r="L4" s="98">
        <v>0.34</v>
      </c>
      <c r="M4" s="98">
        <v>0</v>
      </c>
      <c r="N4" s="99">
        <v>0.2</v>
      </c>
      <c r="O4" s="98">
        <f>SUM(J4:N4)</f>
        <v>1</v>
      </c>
    </row>
    <row r="5" spans="1:15" x14ac:dyDescent="0.3">
      <c r="E5" s="229"/>
      <c r="F5" s="229"/>
      <c r="G5" s="229"/>
      <c r="I5" t="s">
        <v>51</v>
      </c>
      <c r="J5" s="98">
        <v>0.12</v>
      </c>
      <c r="K5" s="98">
        <v>0.34</v>
      </c>
      <c r="L5" s="98">
        <v>0.22</v>
      </c>
      <c r="M5" s="98">
        <v>0.12</v>
      </c>
      <c r="N5" s="99">
        <v>0.2</v>
      </c>
      <c r="O5" s="98">
        <f>SUM(J5:N5)</f>
        <v>1</v>
      </c>
    </row>
    <row r="6" spans="1:15" x14ac:dyDescent="0.3">
      <c r="A6" s="118" t="s">
        <v>52</v>
      </c>
      <c r="B6" s="119" t="s">
        <v>54</v>
      </c>
      <c r="C6" s="119" t="s">
        <v>106</v>
      </c>
      <c r="E6" s="229"/>
      <c r="F6" s="230"/>
      <c r="G6" s="229"/>
    </row>
    <row r="7" spans="1:15" x14ac:dyDescent="0.3">
      <c r="A7" s="44" t="s">
        <v>56</v>
      </c>
      <c r="B7" s="120">
        <v>0.5</v>
      </c>
      <c r="C7" s="120">
        <v>0.5</v>
      </c>
      <c r="E7" s="229"/>
      <c r="F7" s="231"/>
      <c r="G7" s="229"/>
    </row>
    <row r="8" spans="1:15" x14ac:dyDescent="0.3">
      <c r="A8" s="117" t="s">
        <v>60</v>
      </c>
      <c r="B8" s="121">
        <f>$B$4*B7</f>
        <v>70416.072065189714</v>
      </c>
      <c r="C8" s="121">
        <f>$B$4*C7</f>
        <v>70416.072065189714</v>
      </c>
      <c r="E8" s="229"/>
      <c r="F8" s="232"/>
      <c r="G8" s="229"/>
      <c r="H8" s="51"/>
      <c r="J8" s="98"/>
      <c r="K8" s="98"/>
      <c r="L8" s="98"/>
      <c r="M8" s="98"/>
      <c r="N8" s="98"/>
    </row>
    <row r="9" spans="1:15" x14ac:dyDescent="0.3">
      <c r="E9" s="229"/>
      <c r="F9" s="229"/>
      <c r="G9" s="229"/>
    </row>
  </sheetData>
  <dataValidations count="1">
    <dataValidation type="list" showInputMessage="1" showErrorMessage="1" sqref="B3">
      <formula1>$I$4:$I$5</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6"/>
  <sheetViews>
    <sheetView workbookViewId="0">
      <selection sqref="A1:F12"/>
    </sheetView>
  </sheetViews>
  <sheetFormatPr baseColWidth="10" defaultColWidth="11.44140625" defaultRowHeight="14.4" x14ac:dyDescent="0.3"/>
  <cols>
    <col min="2" max="2" width="9.33203125" bestFit="1" customWidth="1"/>
    <col min="3" max="3" width="7" customWidth="1"/>
    <col min="4" max="4" width="4.44140625" bestFit="1" customWidth="1"/>
    <col min="5" max="5" width="2.6640625" bestFit="1" customWidth="1"/>
    <col min="6" max="6" width="17.44140625" bestFit="1" customWidth="1"/>
    <col min="7" max="7" width="2.6640625" bestFit="1" customWidth="1"/>
  </cols>
  <sheetData>
    <row r="1" spans="1:14" x14ac:dyDescent="0.3">
      <c r="A1" s="22" t="s">
        <v>16</v>
      </c>
    </row>
    <row r="2" spans="1:14" x14ac:dyDescent="0.3">
      <c r="A2" s="22"/>
      <c r="B2" s="22"/>
      <c r="C2" s="22"/>
      <c r="D2" s="22">
        <v>2014</v>
      </c>
      <c r="E2" s="22" t="e">
        <f>IF(D2=A5,C7,IF(A5=D2, IF(B4&gt;12,12,C7),0))</f>
        <v>#REF!</v>
      </c>
      <c r="I2" s="22"/>
      <c r="J2" s="22"/>
      <c r="K2" s="22"/>
      <c r="L2" s="22"/>
      <c r="M2" s="22"/>
      <c r="N2" s="22"/>
    </row>
    <row r="3" spans="1:14" x14ac:dyDescent="0.3">
      <c r="A3" s="22" t="s">
        <v>17</v>
      </c>
      <c r="B3" s="22" t="s">
        <v>18</v>
      </c>
      <c r="C3" s="22"/>
      <c r="D3" s="22">
        <v>2015</v>
      </c>
      <c r="E3" s="22" t="e">
        <f>IF(D3&gt;=A5, IF(D3=A5,C7, IF(B4-E2&gt;0,IF(B4-E2&gt;12,12, B4-E2),0)),0)</f>
        <v>#REF!</v>
      </c>
      <c r="I3" s="22"/>
      <c r="J3" s="22"/>
      <c r="K3" s="22"/>
      <c r="L3" s="22"/>
      <c r="M3" s="22"/>
      <c r="N3" s="22"/>
    </row>
    <row r="4" spans="1:14" x14ac:dyDescent="0.3">
      <c r="A4" s="22" t="e">
        <f>DATEDIF('Uni Wien interne Kalkulation'!#REF!,'Uni Wien interne Kalkulation'!F12,"m")</f>
        <v>#REF!</v>
      </c>
      <c r="B4" s="22" t="e">
        <f>IF(D11=0,A4+1,A4)</f>
        <v>#REF!</v>
      </c>
      <c r="C4" s="22"/>
      <c r="D4" s="22">
        <v>2016</v>
      </c>
      <c r="E4" s="22" t="e">
        <f>IF(D4&gt;=A5, IF(A5=D4,C7, IF(B4-E3-E2&gt;0,IF(B4-E3-E2&gt;12,12,B4-E3-E2),0)),0)</f>
        <v>#REF!</v>
      </c>
      <c r="I4" s="22"/>
      <c r="J4" s="22"/>
      <c r="K4" s="22"/>
      <c r="L4" s="22"/>
      <c r="M4" s="22"/>
      <c r="N4" s="22"/>
    </row>
    <row r="5" spans="1:14" x14ac:dyDescent="0.3">
      <c r="A5" s="22" t="e">
        <f>YEAR('Uni Wien interne Kalkulation'!#REF!)</f>
        <v>#REF!</v>
      </c>
      <c r="B5" s="22"/>
      <c r="C5" s="22"/>
      <c r="D5" s="22">
        <v>2017</v>
      </c>
      <c r="E5" s="22" t="e">
        <f>IF(D5&gt;=A5,IF(D5=A5,C7,IF(B4-E4-E3-E2&gt;0,IF(B4-E4-E3-E2&gt;12,12, B4-E4-E3-E2),0)),0)</f>
        <v>#REF!</v>
      </c>
      <c r="I5" s="22"/>
      <c r="J5" s="22"/>
      <c r="K5" s="22"/>
      <c r="L5" s="22"/>
      <c r="M5" s="22"/>
      <c r="N5" s="22"/>
    </row>
    <row r="6" spans="1:14" x14ac:dyDescent="0.3">
      <c r="A6" s="22" t="e">
        <f>MONTH('Uni Wien interne Kalkulation'!#REF!)</f>
        <v>#REF!</v>
      </c>
      <c r="B6" s="22"/>
      <c r="C6" s="22"/>
      <c r="D6" s="23">
        <v>2018</v>
      </c>
      <c r="E6" s="23" t="e">
        <f>IF(D6&gt;=A5,IF(D6=A5,C7,IF(B4-E5-E4-E3-E2&gt;0, IF(B4-E5-E4-E3-E2&gt;12,12, B4-E5-E4-E3-E2),0)),0)</f>
        <v>#REF!</v>
      </c>
      <c r="I6" s="22"/>
      <c r="J6" s="22"/>
      <c r="K6" s="22"/>
      <c r="L6" s="22"/>
      <c r="M6" s="22"/>
      <c r="N6" s="22"/>
    </row>
    <row r="7" spans="1:14" x14ac:dyDescent="0.3">
      <c r="A7" t="s">
        <v>19</v>
      </c>
      <c r="C7" t="e">
        <f>IF(A4&gt;12,(12-A6)+1,IF(YEAR('Uni Wien interne Kalkulation'!#REF!)=YEAR('Uni Wien interne Kalkulation'!F12),MONTH('Uni Wien interne Kalkulation'!F12)-MONTH('Uni Wien interne Kalkulation'!#REF!)+1,B4))</f>
        <v>#REF!</v>
      </c>
      <c r="E7" t="e">
        <f>SUM(E2:E6)</f>
        <v>#REF!</v>
      </c>
      <c r="F7" t="s">
        <v>20</v>
      </c>
      <c r="I7" s="22"/>
      <c r="J7" s="22"/>
      <c r="K7" s="22"/>
      <c r="L7" s="22"/>
      <c r="M7" s="22"/>
      <c r="N7" s="22"/>
    </row>
    <row r="8" spans="1:14" x14ac:dyDescent="0.3">
      <c r="A8" t="s">
        <v>21</v>
      </c>
      <c r="I8" s="22"/>
      <c r="J8" s="22"/>
      <c r="K8" s="22"/>
      <c r="L8" s="22"/>
      <c r="M8" s="22"/>
      <c r="N8" s="22"/>
    </row>
    <row r="9" spans="1:14" x14ac:dyDescent="0.3">
      <c r="A9" t="e">
        <f>_xlfn.DAYS('Uni Wien interne Kalkulation'!F12,'Uni Wien interne Kalkulation'!#REF!)</f>
        <v>#REF!</v>
      </c>
      <c r="B9" t="e">
        <f>DAY('Uni Wien interne Kalkulation'!#REF!)</f>
        <v>#REF!</v>
      </c>
      <c r="C9" t="e">
        <f>MONTH('Uni Wien interne Kalkulation'!#REF!)</f>
        <v>#REF!</v>
      </c>
      <c r="I9" s="22"/>
      <c r="J9" s="22"/>
      <c r="K9" s="22"/>
      <c r="L9" s="22"/>
      <c r="M9" s="22"/>
      <c r="N9" s="22"/>
    </row>
    <row r="10" spans="1:14" x14ac:dyDescent="0.3">
      <c r="B10">
        <f>DAY('Uni Wien interne Kalkulation'!F12)</f>
        <v>0</v>
      </c>
      <c r="C10">
        <f>MONTH('Uni Wien interne Kalkulation'!F12)</f>
        <v>1</v>
      </c>
      <c r="I10" s="22"/>
      <c r="J10" s="22"/>
      <c r="K10" s="22"/>
      <c r="L10" s="22"/>
      <c r="M10" s="22"/>
      <c r="N10" s="22"/>
    </row>
    <row r="11" spans="1:14" x14ac:dyDescent="0.3">
      <c r="B11" t="e">
        <f>IF(B9=B10,1,0)</f>
        <v>#REF!</v>
      </c>
      <c r="C11" t="e">
        <f>IF(C9=C10,1,0)</f>
        <v>#REF!</v>
      </c>
      <c r="D11" t="e">
        <f>IF(AND(B11=1,C11=1),1,IF(AND(B11=1,C11=0),2,0))</f>
        <v>#REF!</v>
      </c>
      <c r="F11" s="24">
        <v>42004</v>
      </c>
      <c r="I11" s="22"/>
      <c r="J11" s="22"/>
      <c r="K11" s="22"/>
      <c r="L11" s="22"/>
      <c r="M11" s="22"/>
      <c r="N11" s="22"/>
    </row>
    <row r="12" spans="1:14" x14ac:dyDescent="0.3">
      <c r="F12" s="24">
        <v>42050</v>
      </c>
      <c r="I12" s="22"/>
      <c r="J12" s="22"/>
      <c r="K12" s="22"/>
      <c r="L12" s="22"/>
      <c r="M12" s="22"/>
      <c r="N12" s="22"/>
    </row>
    <row r="13" spans="1:14" x14ac:dyDescent="0.3">
      <c r="I13" s="22"/>
      <c r="J13" s="22"/>
      <c r="K13" s="22"/>
      <c r="L13" s="22"/>
      <c r="M13" s="22"/>
      <c r="N13" s="22"/>
    </row>
    <row r="14" spans="1:14" x14ac:dyDescent="0.3">
      <c r="I14" s="22"/>
      <c r="J14" s="22"/>
      <c r="K14" s="22"/>
      <c r="L14" s="22"/>
      <c r="M14" s="22"/>
      <c r="N14" s="22"/>
    </row>
    <row r="15" spans="1:14" x14ac:dyDescent="0.3">
      <c r="A15" s="22"/>
      <c r="B15" s="22"/>
      <c r="C15" s="22"/>
      <c r="D15" s="22"/>
      <c r="E15" s="22"/>
      <c r="F15" s="22"/>
      <c r="G15" s="22"/>
      <c r="H15" s="22"/>
      <c r="I15" s="22"/>
      <c r="J15" s="22"/>
      <c r="K15" s="22"/>
      <c r="L15" s="22"/>
      <c r="M15" s="22"/>
      <c r="N15" s="22"/>
    </row>
    <row r="16" spans="1:14" x14ac:dyDescent="0.3">
      <c r="A16" s="22"/>
      <c r="B16" s="22"/>
      <c r="C16" s="22"/>
      <c r="D16" s="22"/>
      <c r="E16" s="22"/>
      <c r="F16" s="22"/>
      <c r="G16" s="22"/>
      <c r="H16" s="22"/>
      <c r="I16" s="22"/>
      <c r="J16" s="22"/>
      <c r="K16" s="22"/>
      <c r="L16" s="22"/>
      <c r="M16" s="22"/>
      <c r="N16" s="22"/>
    </row>
  </sheetData>
  <sheetProtection algorithmName="SHA-512" hashValue="z0afeAbV5e7oe9EVjgGe/h4pdlZY3zHnLIdsOGS22rdt13dHcCtKl5cE7vmKD3qIL2NcR+b3hcvD10jdA0Nf8Q==" saltValue="6l3TmxmcwssoAB+fBQzgUQ==" spinCount="100000" sheet="1" objects="1" scenarios="1" formatCells="0" formatColumns="0" formatRows="0" insertColumns="0" insertRows="0" insertHyperlinks="0" deleteColumns="0" deleteRows="0" sort="0" autoFilter="0" pivotTables="0"/>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13"/>
  <sheetViews>
    <sheetView workbookViewId="0">
      <selection activeCell="F14" sqref="F14"/>
    </sheetView>
  </sheetViews>
  <sheetFormatPr baseColWidth="10" defaultColWidth="11.44140625" defaultRowHeight="14.4" x14ac:dyDescent="0.3"/>
  <sheetData>
    <row r="1" spans="1:6" x14ac:dyDescent="0.3">
      <c r="A1" s="22" t="s">
        <v>16</v>
      </c>
    </row>
    <row r="2" spans="1:6" x14ac:dyDescent="0.3">
      <c r="A2" s="22"/>
      <c r="B2" s="22"/>
      <c r="C2" s="22"/>
      <c r="D2" s="22">
        <v>2014</v>
      </c>
      <c r="E2" s="22" t="e">
        <f>IF(D2=A5,C8,IF(A5=D2, IF(B4&gt;12,12,C8),0))</f>
        <v>#REF!</v>
      </c>
    </row>
    <row r="3" spans="1:6" x14ac:dyDescent="0.3">
      <c r="A3" s="22" t="s">
        <v>17</v>
      </c>
      <c r="B3" s="22" t="s">
        <v>18</v>
      </c>
      <c r="C3" s="22"/>
      <c r="D3" s="22">
        <v>2016</v>
      </c>
      <c r="E3" s="22" t="e">
        <f>IF(D3&gt;=A5, IF(D3=A5,C8, IF(B4-E2&gt;0,IF(B4-E2&gt;12,12, B4-E2),0)),0)</f>
        <v>#REF!</v>
      </c>
    </row>
    <row r="4" spans="1:6" x14ac:dyDescent="0.3">
      <c r="A4" s="22" t="e">
        <f>DATEDIF('Uni Wien interne Kalkulation'!#REF!,'Uni Wien interne Kalkulation'!F12,"m")</f>
        <v>#REF!</v>
      </c>
      <c r="B4" s="22" t="e">
        <f>IF(D12=0,A4+1,A4)</f>
        <v>#REF!</v>
      </c>
      <c r="C4" s="22"/>
      <c r="D4" s="22">
        <v>2017</v>
      </c>
      <c r="E4" s="22" t="e">
        <f>IF(D4&gt;=A5, IF(A5=D4,C8, IF(B4-E3-E2&gt;0,IF(B4-E3-E2&gt;12,12,B4-E3-E2),0)),0)</f>
        <v>#REF!</v>
      </c>
    </row>
    <row r="5" spans="1:6" x14ac:dyDescent="0.3">
      <c r="A5" s="22" t="e">
        <f>YEAR('Uni Wien interne Kalkulation'!#REF!)</f>
        <v>#REF!</v>
      </c>
      <c r="B5" s="22"/>
      <c r="C5" s="22"/>
      <c r="D5" s="100">
        <v>2018</v>
      </c>
      <c r="E5" s="100" t="e">
        <f>IF(D5&gt;=A5,IF(D5=A5,C8,IF(B4-E4-E3-E2&gt;0,IF(B4-E4-E3-E2&gt;12,12, B4-E4-E3-E2),0)),0)</f>
        <v>#REF!</v>
      </c>
    </row>
    <row r="6" spans="1:6" x14ac:dyDescent="0.3">
      <c r="A6" s="22" t="e">
        <f>MONTH('Uni Wien interne Kalkulation'!#REF!)</f>
        <v>#REF!</v>
      </c>
      <c r="B6" s="22"/>
      <c r="C6" s="22"/>
      <c r="D6" s="100">
        <v>2019</v>
      </c>
      <c r="E6" s="100" t="e">
        <f>IF(D6&gt;=A5,IF(D6=A5,C8,IF(B4-E5-E4-E3-E2&gt;0, IF(B4-E5-E4-E3-E2&gt;12,12, B4-E5-E4-E3-E2),0)),0)</f>
        <v>#REF!</v>
      </c>
    </row>
    <row r="7" spans="1:6" x14ac:dyDescent="0.3">
      <c r="A7" s="22"/>
      <c r="B7" s="22"/>
      <c r="C7" s="22"/>
      <c r="D7" s="100">
        <v>2020</v>
      </c>
      <c r="E7" s="100" t="e">
        <f>IF(D7&gt;=A5,IF(D7=A5,C8,IF(B4-E5-E4-E3-E2-E6&gt;0, IF(B4-E5-E4-E3-E2-E6&gt;12,12, B4-E5-E4-E3-E2-E6),0)),0)</f>
        <v>#REF!</v>
      </c>
    </row>
    <row r="8" spans="1:6" x14ac:dyDescent="0.3">
      <c r="A8" t="s">
        <v>19</v>
      </c>
      <c r="C8" t="e">
        <f>IF(A4&gt;12,(12-A6)+1,IF(YEAR('Uni Wien interne Kalkulation'!#REF!)=YEAR('Uni Wien interne Kalkulation'!F12),MONTH('Uni Wien interne Kalkulation'!F12)-MONTH('Uni Wien interne Kalkulation'!#REF!)+1,B4))</f>
        <v>#REF!</v>
      </c>
      <c r="E8" t="e">
        <f>SUM(E2:E6)</f>
        <v>#REF!</v>
      </c>
      <c r="F8" t="s">
        <v>20</v>
      </c>
    </row>
    <row r="9" spans="1:6" x14ac:dyDescent="0.3">
      <c r="A9" t="s">
        <v>21</v>
      </c>
    </row>
    <row r="10" spans="1:6" x14ac:dyDescent="0.3">
      <c r="A10" t="e">
        <f>_xlfn.DAYS('Uni Wien interne Kalkulation'!F12,'Uni Wien interne Kalkulation'!#REF!)</f>
        <v>#REF!</v>
      </c>
      <c r="B10" t="e">
        <f>DAY('Uni Wien interne Kalkulation'!#REF!)</f>
        <v>#REF!</v>
      </c>
      <c r="C10" t="e">
        <f>MONTH('Uni Wien interne Kalkulation'!#REF!)</f>
        <v>#REF!</v>
      </c>
    </row>
    <row r="11" spans="1:6" x14ac:dyDescent="0.3">
      <c r="B11">
        <f>DAY('Uni Wien interne Kalkulation'!F12)</f>
        <v>0</v>
      </c>
      <c r="C11">
        <f>MONTH('Uni Wien interne Kalkulation'!F12)</f>
        <v>1</v>
      </c>
    </row>
    <row r="12" spans="1:6" x14ac:dyDescent="0.3">
      <c r="B12" t="e">
        <f>IF(B10=B11,1,0)</f>
        <v>#REF!</v>
      </c>
      <c r="C12" t="e">
        <f>IF(C10=C11,1,0)</f>
        <v>#REF!</v>
      </c>
      <c r="D12" t="e">
        <f>IF(AND(B12=1,C12=1),1,IF(AND(B12=1,C12=0),2,0))</f>
        <v>#REF!</v>
      </c>
      <c r="F12" s="24">
        <v>42004</v>
      </c>
    </row>
    <row r="13" spans="1:6" x14ac:dyDescent="0.3">
      <c r="F13" s="24">
        <v>42050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Uni Wien interne Kalkulation</vt:lpstr>
      <vt:lpstr>Uni Wien OvH Verteilung</vt:lpstr>
      <vt:lpstr>nebenrechnungen</vt:lpstr>
      <vt:lpstr>nr2</vt:lpstr>
    </vt:vector>
  </TitlesOfParts>
  <Company>Universitaet Wien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EU-Budget-Tool Universität Wien</dc:title>
  <dc:creator>zinnerl4;helmut.schaschl@univie.ac.at</dc:creator>
  <cp:lastModifiedBy>harald schwab</cp:lastModifiedBy>
  <cp:lastPrinted>2014-02-14T10:42:53Z</cp:lastPrinted>
  <dcterms:created xsi:type="dcterms:W3CDTF">2012-01-27T10:55:50Z</dcterms:created>
  <dcterms:modified xsi:type="dcterms:W3CDTF">2022-07-14T07:30:48Z</dcterms:modified>
</cp:coreProperties>
</file>